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Employment\IACP\"/>
    </mc:Choice>
  </mc:AlternateContent>
  <xr:revisionPtr revIDLastSave="0" documentId="13_ncr:1_{EE5B49AC-8DF0-4A43-890B-CA991F567BA2}" xr6:coauthVersionLast="41" xr6:coauthVersionMax="41" xr10:uidLastSave="{00000000-0000-0000-0000-000000000000}"/>
  <bookViews>
    <workbookView xWindow="20835" yWindow="210" windowWidth="21360" windowHeight="12630" xr2:uid="{25572ABA-1AFE-4F7F-B4B5-C7E69704A898}"/>
  </bookViews>
  <sheets>
    <sheet name="Record Scores" sheetId="1" r:id="rId1"/>
    <sheet name="Results" sheetId="2" r:id="rId2"/>
    <sheet name="Logic" sheetId="3" r:id="rId3"/>
  </sheets>
  <definedNames>
    <definedName name="_xlnm._FilterDatabase" localSheetId="0" hidden="1">'Record Scores'!$A$1:$H$177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7" i="1" l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87" i="3" l="1"/>
  <c r="C88" i="3" s="1"/>
  <c r="N88" i="3" s="1"/>
  <c r="C84" i="3"/>
  <c r="C86" i="3" s="1"/>
  <c r="O85" i="3" s="1"/>
  <c r="D81" i="3"/>
  <c r="C81" i="3"/>
  <c r="T78" i="3"/>
  <c r="S78" i="3"/>
  <c r="K78" i="3"/>
  <c r="I78" i="3"/>
  <c r="H78" i="3"/>
  <c r="G78" i="3"/>
  <c r="C78" i="3"/>
  <c r="C79" i="3" s="1"/>
  <c r="G74" i="3"/>
  <c r="G75" i="3" s="1"/>
  <c r="F74" i="3"/>
  <c r="F75" i="3" s="1"/>
  <c r="E74" i="3"/>
  <c r="E75" i="3" s="1"/>
  <c r="D74" i="3"/>
  <c r="C74" i="3"/>
  <c r="N71" i="3"/>
  <c r="N73" i="3" s="1"/>
  <c r="L71" i="3"/>
  <c r="L72" i="3" s="1"/>
  <c r="K71" i="3"/>
  <c r="K72" i="3" s="1"/>
  <c r="J71" i="3"/>
  <c r="J72" i="3" s="1"/>
  <c r="H71" i="3"/>
  <c r="H72" i="3" s="1"/>
  <c r="G71" i="3"/>
  <c r="G72" i="3" s="1"/>
  <c r="F71" i="3"/>
  <c r="F73" i="3" s="1"/>
  <c r="E71" i="3"/>
  <c r="E72" i="3" s="1"/>
  <c r="D71" i="3"/>
  <c r="D72" i="3" s="1"/>
  <c r="C71" i="3"/>
  <c r="C73" i="3" s="1"/>
  <c r="C69" i="3"/>
  <c r="N70" i="3" s="1"/>
  <c r="G66" i="3"/>
  <c r="G67" i="3" s="1"/>
  <c r="F66" i="3"/>
  <c r="F67" i="3" s="1"/>
  <c r="C66" i="3"/>
  <c r="C68" i="3" s="1"/>
  <c r="L63" i="3"/>
  <c r="L64" i="3" s="1"/>
  <c r="AD63" i="3"/>
  <c r="AC63" i="3"/>
  <c r="AB63" i="3"/>
  <c r="AA63" i="3"/>
  <c r="Z63" i="3"/>
  <c r="J78" i="3" s="1"/>
  <c r="Y63" i="3"/>
  <c r="X63" i="3"/>
  <c r="W63" i="3"/>
  <c r="V63" i="3"/>
  <c r="U63" i="3"/>
  <c r="F78" i="3" s="1"/>
  <c r="T63" i="3"/>
  <c r="S63" i="3"/>
  <c r="R78" i="3" s="1"/>
  <c r="R63" i="3"/>
  <c r="Q78" i="3" s="1"/>
  <c r="Q63" i="3"/>
  <c r="P78" i="3" s="1"/>
  <c r="P63" i="3"/>
  <c r="O78" i="3" s="1"/>
  <c r="O63" i="3"/>
  <c r="N78" i="3" s="1"/>
  <c r="N63" i="3"/>
  <c r="M78" i="3" s="1"/>
  <c r="M63" i="3"/>
  <c r="L78" i="3" s="1"/>
  <c r="K63" i="3"/>
  <c r="K64" i="3" s="1"/>
  <c r="J63" i="3"/>
  <c r="J64" i="3" s="1"/>
  <c r="I63" i="3"/>
  <c r="I64" i="3" s="1"/>
  <c r="H63" i="3"/>
  <c r="H64" i="3" s="1"/>
  <c r="G63" i="3"/>
  <c r="G64" i="3" s="1"/>
  <c r="F63" i="3"/>
  <c r="F64" i="3" s="1"/>
  <c r="D63" i="3"/>
  <c r="D64" i="3" s="1"/>
  <c r="O58" i="3"/>
  <c r="O59" i="3" s="1"/>
  <c r="B59" i="3"/>
  <c r="C61" i="3" s="1"/>
  <c r="N58" i="3"/>
  <c r="M58" i="3"/>
  <c r="K58" i="3"/>
  <c r="K60" i="3" s="1"/>
  <c r="G58" i="3"/>
  <c r="G60" i="3" s="1"/>
  <c r="F58" i="3"/>
  <c r="E58" i="3"/>
  <c r="D58" i="3"/>
  <c r="C58" i="3"/>
  <c r="F56" i="3"/>
  <c r="F57" i="3" s="1"/>
  <c r="E56" i="3"/>
  <c r="E57" i="3" s="1"/>
  <c r="D56" i="3"/>
  <c r="D57" i="3" s="1"/>
  <c r="C56" i="3"/>
  <c r="C57" i="3" s="1"/>
  <c r="C77" i="3" l="1"/>
  <c r="D73" i="3"/>
  <c r="C85" i="3"/>
  <c r="N85" i="3" s="1"/>
  <c r="C89" i="3"/>
  <c r="O88" i="3" s="1"/>
  <c r="P88" i="3" s="1"/>
  <c r="G73" i="3"/>
  <c r="E73" i="3"/>
  <c r="O70" i="3"/>
  <c r="H73" i="3"/>
  <c r="H75" i="3"/>
  <c r="C75" i="3"/>
  <c r="C76" i="3"/>
  <c r="J73" i="3"/>
  <c r="F72" i="3"/>
  <c r="C72" i="3"/>
  <c r="C67" i="3"/>
  <c r="M64" i="3"/>
  <c r="C59" i="3"/>
  <c r="P59" i="3" s="1"/>
  <c r="C62" i="3"/>
  <c r="B62" i="3" s="1"/>
  <c r="G59" i="3"/>
  <c r="B60" i="3" s="1"/>
  <c r="N57" i="3"/>
  <c r="P57" i="3"/>
  <c r="E54" i="3"/>
  <c r="E55" i="3" s="1"/>
  <c r="D54" i="3"/>
  <c r="D55" i="3" s="1"/>
  <c r="C54" i="3"/>
  <c r="C55" i="3" s="1"/>
  <c r="M50" i="3"/>
  <c r="M51" i="3" s="1"/>
  <c r="L50" i="3"/>
  <c r="L51" i="3" s="1"/>
  <c r="K50" i="3"/>
  <c r="K52" i="3" s="1"/>
  <c r="J50" i="3"/>
  <c r="J51" i="3" s="1"/>
  <c r="I50" i="3"/>
  <c r="I52" i="3" s="1"/>
  <c r="H50" i="3"/>
  <c r="H52" i="3" s="1"/>
  <c r="G50" i="3"/>
  <c r="G52" i="3" s="1"/>
  <c r="F50" i="3"/>
  <c r="F52" i="3" s="1"/>
  <c r="E50" i="3"/>
  <c r="E52" i="3" s="1"/>
  <c r="D50" i="3"/>
  <c r="D52" i="3" s="1"/>
  <c r="C50" i="3"/>
  <c r="C52" i="3" s="1"/>
  <c r="F48" i="3"/>
  <c r="F49" i="3" s="1"/>
  <c r="E48" i="3"/>
  <c r="E49" i="3" s="1"/>
  <c r="D48" i="3"/>
  <c r="D49" i="3" s="1"/>
  <c r="C48" i="3"/>
  <c r="C49" i="3" s="1"/>
  <c r="F3" i="3"/>
  <c r="E3" i="3"/>
  <c r="D3" i="3"/>
  <c r="C3" i="3"/>
  <c r="J44" i="3"/>
  <c r="J45" i="3" s="1"/>
  <c r="M44" i="3"/>
  <c r="M45" i="3" s="1"/>
  <c r="L44" i="3"/>
  <c r="L45" i="3" s="1"/>
  <c r="K44" i="3"/>
  <c r="K45" i="3" s="1"/>
  <c r="I44" i="3"/>
  <c r="I45" i="3" s="1"/>
  <c r="H44" i="3"/>
  <c r="H45" i="3" s="1"/>
  <c r="E44" i="3"/>
  <c r="E45" i="3" s="1"/>
  <c r="D44" i="3"/>
  <c r="C44" i="3"/>
  <c r="I73" i="3" l="1"/>
  <c r="P85" i="3"/>
  <c r="C19" i="2" s="1"/>
  <c r="C20" i="2"/>
  <c r="N75" i="3"/>
  <c r="O75" i="3" s="1"/>
  <c r="P75" i="3" s="1"/>
  <c r="P70" i="3"/>
  <c r="C14" i="2" s="1"/>
  <c r="I72" i="3"/>
  <c r="B72" i="3" s="1"/>
  <c r="O72" i="3" s="1"/>
  <c r="O57" i="3"/>
  <c r="C10" i="2" s="1"/>
  <c r="J52" i="3"/>
  <c r="C53" i="3" s="1"/>
  <c r="B52" i="3" s="1"/>
  <c r="G51" i="3"/>
  <c r="H51" i="3"/>
  <c r="B55" i="3"/>
  <c r="O55" i="3" s="1"/>
  <c r="C45" i="3"/>
  <c r="P45" i="3" s="1"/>
  <c r="I51" i="3"/>
  <c r="B49" i="3"/>
  <c r="P49" i="3" s="1"/>
  <c r="B3" i="3"/>
  <c r="I46" i="3"/>
  <c r="C16" i="2" l="1"/>
  <c r="H58" i="3"/>
  <c r="H60" i="3" s="1"/>
  <c r="E78" i="3"/>
  <c r="E79" i="3" s="1"/>
  <c r="P55" i="3"/>
  <c r="C9" i="2" s="1"/>
  <c r="B51" i="3"/>
  <c r="P51" i="3" s="1"/>
  <c r="N49" i="3"/>
  <c r="O49" i="3"/>
  <c r="L46" i="3"/>
  <c r="N45" i="3" s="1"/>
  <c r="C7" i="2" l="1"/>
  <c r="N51" i="3"/>
  <c r="O45" i="3"/>
  <c r="C5" i="2" s="1"/>
  <c r="F18" i="3"/>
  <c r="E18" i="3"/>
  <c r="D18" i="3"/>
  <c r="D19" i="3"/>
  <c r="E19" i="3"/>
  <c r="E24" i="3" s="1"/>
  <c r="E25" i="3" s="1"/>
  <c r="F19" i="3"/>
  <c r="F24" i="3" s="1"/>
  <c r="F25" i="3" s="1"/>
  <c r="G19" i="3"/>
  <c r="H19" i="3"/>
  <c r="I19" i="3"/>
  <c r="J19" i="3"/>
  <c r="K19" i="3"/>
  <c r="F17" i="3"/>
  <c r="E17" i="3"/>
  <c r="D17" i="3"/>
  <c r="D16" i="3"/>
  <c r="I15" i="3"/>
  <c r="H15" i="3"/>
  <c r="G15" i="3"/>
  <c r="F15" i="3"/>
  <c r="E15" i="3"/>
  <c r="D15" i="3"/>
  <c r="I14" i="3"/>
  <c r="H14" i="3"/>
  <c r="G14" i="3"/>
  <c r="F14" i="3"/>
  <c r="E14" i="3"/>
  <c r="D14" i="3"/>
  <c r="I12" i="3"/>
  <c r="H12" i="3"/>
  <c r="G12" i="3"/>
  <c r="F12" i="3"/>
  <c r="E12" i="3"/>
  <c r="D12" i="3"/>
  <c r="G13" i="3"/>
  <c r="F13" i="3"/>
  <c r="E13" i="3"/>
  <c r="D13" i="3"/>
  <c r="J34" i="3"/>
  <c r="J35" i="3" s="1"/>
  <c r="G34" i="3"/>
  <c r="G35" i="3" s="1"/>
  <c r="D6" i="3"/>
  <c r="O51" i="3" l="1"/>
  <c r="C8" i="2" s="1"/>
  <c r="D11" i="3"/>
  <c r="F6" i="3"/>
  <c r="E6" i="3"/>
  <c r="E7" i="3" s="1"/>
  <c r="C6" i="3"/>
  <c r="B9" i="3" s="1"/>
  <c r="D34" i="3"/>
  <c r="D35" i="3" s="1"/>
  <c r="C34" i="3"/>
  <c r="C35" i="3" s="1"/>
  <c r="L28" i="3"/>
  <c r="L29" i="3" s="1"/>
  <c r="K28" i="3"/>
  <c r="K29" i="3" s="1"/>
  <c r="I28" i="3"/>
  <c r="G28" i="3"/>
  <c r="F28" i="3"/>
  <c r="E28" i="3"/>
  <c r="E29" i="3" s="1"/>
  <c r="D28" i="3"/>
  <c r="C28" i="3"/>
  <c r="B31" i="3" s="1"/>
  <c r="B8" i="3" l="1"/>
  <c r="B7" i="3"/>
  <c r="B10" i="3"/>
  <c r="B38" i="3"/>
  <c r="B41" i="3" s="1"/>
  <c r="B37" i="3"/>
  <c r="B40" i="3" s="1"/>
  <c r="B36" i="3"/>
  <c r="B30" i="3"/>
  <c r="I20" i="3"/>
  <c r="C19" i="3"/>
  <c r="D24" i="3" s="1"/>
  <c r="D25" i="3" s="1"/>
  <c r="G25" i="3" s="1"/>
  <c r="D20" i="3"/>
  <c r="B6" i="3" l="1"/>
  <c r="E81" i="3" s="1"/>
  <c r="K20" i="3"/>
  <c r="C20" i="3"/>
  <c r="B21" i="3" s="1"/>
  <c r="C18" i="3"/>
  <c r="C17" i="3"/>
  <c r="C16" i="3"/>
  <c r="C15" i="3"/>
  <c r="B15" i="3" s="1"/>
  <c r="E63" i="3" s="1"/>
  <c r="E64" i="3" s="1"/>
  <c r="C14" i="3"/>
  <c r="C13" i="3"/>
  <c r="B13" i="3" s="1"/>
  <c r="C12" i="3"/>
  <c r="C11" i="3"/>
  <c r="B11" i="3" s="1"/>
  <c r="F5" i="3"/>
  <c r="E5" i="3"/>
  <c r="D5" i="3"/>
  <c r="C5" i="3"/>
  <c r="D2" i="3"/>
  <c r="C2" i="3"/>
  <c r="F4" i="3"/>
  <c r="E4" i="3"/>
  <c r="D4" i="3"/>
  <c r="C4" i="3"/>
  <c r="F2" i="3"/>
  <c r="E2" i="3"/>
  <c r="E83" i="3" l="1"/>
  <c r="B83" i="3" s="1"/>
  <c r="E82" i="3"/>
  <c r="B82" i="3" s="1"/>
  <c r="N82" i="3" s="1"/>
  <c r="E66" i="3"/>
  <c r="E67" i="3" s="1"/>
  <c r="D78" i="3"/>
  <c r="D79" i="3" s="1"/>
  <c r="B79" i="3" s="1"/>
  <c r="B80" i="3" s="1"/>
  <c r="O80" i="3" s="1"/>
  <c r="N80" i="3" s="1"/>
  <c r="I58" i="3"/>
  <c r="I60" i="3" s="1"/>
  <c r="C63" i="3"/>
  <c r="C64" i="3" s="1"/>
  <c r="B64" i="3" s="1"/>
  <c r="B16" i="3"/>
  <c r="B27" i="3"/>
  <c r="B14" i="3"/>
  <c r="B17" i="3"/>
  <c r="B18" i="3" s="1"/>
  <c r="B12" i="3"/>
  <c r="H34" i="3"/>
  <c r="B22" i="3"/>
  <c r="B4" i="3"/>
  <c r="B5" i="3"/>
  <c r="M71" i="3" s="1"/>
  <c r="M73" i="3" s="1"/>
  <c r="B73" i="3" s="1"/>
  <c r="P72" i="3" s="1"/>
  <c r="B2" i="3"/>
  <c r="L58" i="3" s="1"/>
  <c r="L60" i="3" s="1"/>
  <c r="H28" i="3"/>
  <c r="E34" i="3"/>
  <c r="O82" i="3" l="1"/>
  <c r="P82" i="3" s="1"/>
  <c r="C18" i="2" s="1"/>
  <c r="C17" i="2"/>
  <c r="P80" i="3"/>
  <c r="C15" i="2"/>
  <c r="Q72" i="3"/>
  <c r="N65" i="3"/>
  <c r="B65" i="3"/>
  <c r="J58" i="3"/>
  <c r="J60" i="3" s="1"/>
  <c r="B61" i="3" s="1"/>
  <c r="D66" i="3"/>
  <c r="D67" i="3" s="1"/>
  <c r="E35" i="3"/>
  <c r="K35" i="3"/>
  <c r="B43" i="3" s="1"/>
  <c r="B26" i="3"/>
  <c r="I35" i="3"/>
  <c r="H35" i="3"/>
  <c r="J28" i="3"/>
  <c r="B32" i="3" s="1"/>
  <c r="F34" i="3"/>
  <c r="F35" i="3" s="1"/>
  <c r="B42" i="3" s="1"/>
  <c r="B39" i="3"/>
  <c r="B23" i="3"/>
  <c r="Q59" i="3" l="1"/>
  <c r="B67" i="3"/>
  <c r="N67" i="3" s="1"/>
  <c r="H67" i="3"/>
  <c r="D68" i="3" s="1"/>
  <c r="B68" i="3" s="1"/>
  <c r="O65" i="3"/>
  <c r="P65" i="3" s="1"/>
  <c r="C12" i="2" s="1"/>
  <c r="B33" i="3"/>
  <c r="B28" i="3" s="1"/>
  <c r="J29" i="3"/>
  <c r="B34" i="3"/>
  <c r="B25" i="3"/>
  <c r="B24" i="3"/>
  <c r="R59" i="3" l="1"/>
  <c r="C11" i="2" s="1"/>
  <c r="O67" i="3"/>
  <c r="P67" i="3" s="1"/>
  <c r="J39" i="3"/>
  <c r="I39" i="3"/>
  <c r="K39" i="3"/>
  <c r="O29" i="3"/>
  <c r="M29" i="3"/>
  <c r="B19" i="3"/>
  <c r="C13" i="2" l="1"/>
  <c r="C3" i="2"/>
  <c r="I25" i="3"/>
  <c r="K25" i="3"/>
  <c r="N29" i="3"/>
  <c r="C4" i="2" s="1"/>
  <c r="J25" i="3" l="1"/>
  <c r="C2" i="2" s="1"/>
</calcChain>
</file>

<file path=xl/sharedStrings.xml><?xml version="1.0" encoding="utf-8"?>
<sst xmlns="http://schemas.openxmlformats.org/spreadsheetml/2006/main" count="723" uniqueCount="329">
  <si>
    <t>Item</t>
  </si>
  <si>
    <t>Score</t>
  </si>
  <si>
    <t>F1b</t>
  </si>
  <si>
    <t>F1c</t>
  </si>
  <si>
    <t>F1d</t>
  </si>
  <si>
    <t>F1f</t>
  </si>
  <si>
    <t>H2a</t>
  </si>
  <si>
    <t>H2b</t>
  </si>
  <si>
    <t>H2d</t>
  </si>
  <si>
    <t>H2e</t>
  </si>
  <si>
    <t>C1y</t>
  </si>
  <si>
    <t>C1aa</t>
  </si>
  <si>
    <t>C1z</t>
  </si>
  <si>
    <t>C1bb</t>
  </si>
  <si>
    <t>D5a</t>
  </si>
  <si>
    <t>D5b</t>
  </si>
  <si>
    <t>D5c</t>
  </si>
  <si>
    <t>D5d</t>
  </si>
  <si>
    <t>G1</t>
  </si>
  <si>
    <t>G2a</t>
  </si>
  <si>
    <t>I1</t>
  </si>
  <si>
    <t>I2</t>
  </si>
  <si>
    <t>C1d</t>
  </si>
  <si>
    <t>C1ee</t>
  </si>
  <si>
    <t>C1p</t>
  </si>
  <si>
    <t>C1cc</t>
  </si>
  <si>
    <t>C1o</t>
  </si>
  <si>
    <t>C1f</t>
  </si>
  <si>
    <t>C1g</t>
  </si>
  <si>
    <t>H1a</t>
  </si>
  <si>
    <t>C1a</t>
  </si>
  <si>
    <t>C1b</t>
  </si>
  <si>
    <t>C1e</t>
  </si>
  <si>
    <t>H1b</t>
  </si>
  <si>
    <t>H1c</t>
  </si>
  <si>
    <t>H1d</t>
  </si>
  <si>
    <t>H1e</t>
  </si>
  <si>
    <t>H1f</t>
  </si>
  <si>
    <t>H1g</t>
  </si>
  <si>
    <t>C1h</t>
  </si>
  <si>
    <t>C1i</t>
  </si>
  <si>
    <t>C1j</t>
  </si>
  <si>
    <t>C1k</t>
  </si>
  <si>
    <t>C1l</t>
  </si>
  <si>
    <t>C1m</t>
  </si>
  <si>
    <t>C2</t>
  </si>
  <si>
    <t>J11a</t>
  </si>
  <si>
    <t>J11b</t>
  </si>
  <si>
    <t>C1u</t>
  </si>
  <si>
    <t>C1v</t>
  </si>
  <si>
    <t>C1w</t>
  </si>
  <si>
    <t>C1x</t>
  </si>
  <si>
    <t>C1ff</t>
  </si>
  <si>
    <t>E4c</t>
  </si>
  <si>
    <t>E6</t>
  </si>
  <si>
    <t>C1hh</t>
  </si>
  <si>
    <t>C3</t>
  </si>
  <si>
    <t>C1c</t>
  </si>
  <si>
    <t>E1a</t>
  </si>
  <si>
    <t>E1b</t>
  </si>
  <si>
    <t>E3a</t>
  </si>
  <si>
    <t>Scale</t>
  </si>
  <si>
    <t>ABS</t>
  </si>
  <si>
    <t>ADL Heirarchy</t>
  </si>
  <si>
    <t>Anhedonia</t>
  </si>
  <si>
    <t>CAGE</t>
  </si>
  <si>
    <t>CPS</t>
  </si>
  <si>
    <t>Communication</t>
  </si>
  <si>
    <t>DRS</t>
  </si>
  <si>
    <t>DSI</t>
  </si>
  <si>
    <t>IACL Capacity</t>
  </si>
  <si>
    <t>Mania</t>
  </si>
  <si>
    <t>Pain</t>
  </si>
  <si>
    <t>PSS</t>
  </si>
  <si>
    <t>RHO</t>
  </si>
  <si>
    <t>SCI</t>
  </si>
  <si>
    <t>SoS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</si>
  <si>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</si>
  <si>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</si>
  <si>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</si>
  <si>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</si>
  <si>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</si>
  <si>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</si>
  <si>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</si>
  <si>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</si>
  <si>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</si>
  <si>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</si>
  <si>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</si>
  <si>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</si>
  <si>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</si>
  <si>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ADL Hierarchy</t>
  </si>
  <si>
    <t>Do not enter if score is "8"</t>
  </si>
  <si>
    <t>Notes</t>
  </si>
  <si>
    <t>Record the Capacity score</t>
  </si>
  <si>
    <t>IADL Capacity</t>
  </si>
  <si>
    <t>PSS Short</t>
  </si>
  <si>
    <t>PSS Long</t>
  </si>
  <si>
    <t>Risk of Harm to Others</t>
  </si>
  <si>
    <t>O3c</t>
  </si>
  <si>
    <t>O4</t>
  </si>
  <si>
    <t>O5b</t>
  </si>
  <si>
    <t>O5c</t>
  </si>
  <si>
    <t>O6a</t>
  </si>
  <si>
    <t>O7a</t>
  </si>
  <si>
    <t>O7b</t>
  </si>
  <si>
    <t>O7c</t>
  </si>
  <si>
    <t>Social Rels</t>
  </si>
  <si>
    <t>Social Relationships</t>
  </si>
  <si>
    <t>No Trigger</t>
  </si>
  <si>
    <t>No viol or extr beh</t>
  </si>
  <si>
    <t>V or E Beh &gt;7days</t>
  </si>
  <si>
    <t>V or E Beh 1-7days</t>
  </si>
  <si>
    <t>Step 1</t>
  </si>
  <si>
    <t>Step 2-NoV/E Beh</t>
  </si>
  <si>
    <t>Step 2-V/E Beh 1-7 days</t>
  </si>
  <si>
    <t>E4a</t>
  </si>
  <si>
    <t>E4b</t>
  </si>
  <si>
    <t>E5</t>
  </si>
  <si>
    <t>Step 2-V/E Beh&gt;7 days</t>
  </si>
  <si>
    <t>ViolenceScale</t>
  </si>
  <si>
    <t>C1gg</t>
  </si>
  <si>
    <t>Cog Skills = 0</t>
  </si>
  <si>
    <t>Cog Skills &gt; 0</t>
  </si>
  <si>
    <t>Step 2-CogSkills=0</t>
  </si>
  <si>
    <t>Step 2-CogSkills&gt;0</t>
  </si>
  <si>
    <t>Self-Inj Ideation 0-2</t>
  </si>
  <si>
    <t>Self-Inj Ideation 5+</t>
  </si>
  <si>
    <t>Self-Inj Ideation 3-4</t>
  </si>
  <si>
    <t>Step 2- 5+ Yes</t>
  </si>
  <si>
    <t>Step2- 0-2 Yes</t>
  </si>
  <si>
    <t>Step2- 0-2 No</t>
  </si>
  <si>
    <t>Step 2- 5+ No</t>
  </si>
  <si>
    <t>G2b</t>
  </si>
  <si>
    <t>G1=0-1</t>
  </si>
  <si>
    <t>G1=2</t>
  </si>
  <si>
    <t>G1=3</t>
  </si>
  <si>
    <t>G1=4-5</t>
  </si>
  <si>
    <t>Fam Conc</t>
  </si>
  <si>
    <t>Hx Suic</t>
  </si>
  <si>
    <t>CPS1</t>
  </si>
  <si>
    <t>CPS2</t>
  </si>
  <si>
    <t>Step2- 3-4</t>
  </si>
  <si>
    <t>E3b</t>
  </si>
  <si>
    <t>Suic Plan</t>
  </si>
  <si>
    <t>DSI 1</t>
  </si>
  <si>
    <t>DSI 2</t>
  </si>
  <si>
    <t>Violent thoughts, actions, or acts of intimidation in last 7 days?</t>
  </si>
  <si>
    <t>Clinical Assessment Protocol (CAP)</t>
  </si>
  <si>
    <t>High</t>
  </si>
  <si>
    <t>Moderate</t>
  </si>
  <si>
    <t>Not</t>
  </si>
  <si>
    <t>Suicidality and Purposeful Self-Harm CAP</t>
  </si>
  <si>
    <t>Self-Care CAP</t>
  </si>
  <si>
    <t>Social Relationships CAP</t>
  </si>
  <si>
    <t>Top 3 Sum</t>
  </si>
  <si>
    <t>Confidant</t>
  </si>
  <si>
    <t>Bottom 4 Sum</t>
  </si>
  <si>
    <t>Reduce</t>
  </si>
  <si>
    <t>Improve</t>
  </si>
  <si>
    <t>3-part Sum</t>
  </si>
  <si>
    <t>2-part Sum</t>
  </si>
  <si>
    <t>Informal Support CAP</t>
  </si>
  <si>
    <t>Refer to CAP Manual</t>
  </si>
  <si>
    <t>Interpersonal Conflict CAP</t>
  </si>
  <si>
    <t>Interpersonal Conflict</t>
  </si>
  <si>
    <t>Specific</t>
  </si>
  <si>
    <t>Traumatic Life Events CAP</t>
  </si>
  <si>
    <t>K1a</t>
  </si>
  <si>
    <t>K1c</t>
  </si>
  <si>
    <t>K1j</t>
  </si>
  <si>
    <t>K1k</t>
  </si>
  <si>
    <t>K1l</t>
  </si>
  <si>
    <t>K1m</t>
  </si>
  <si>
    <t>K1n</t>
  </si>
  <si>
    <t>K1o</t>
  </si>
  <si>
    <t>K3a</t>
  </si>
  <si>
    <t>K3c</t>
  </si>
  <si>
    <t>K2</t>
  </si>
  <si>
    <t>Traum Life Ev</t>
  </si>
  <si>
    <t>Traumatic Life Events</t>
  </si>
  <si>
    <t>Widespread</t>
  </si>
  <si>
    <t xml:space="preserve">   Immediate</t>
  </si>
  <si>
    <t xml:space="preserve">   Prior</t>
  </si>
  <si>
    <t>Immediate</t>
  </si>
  <si>
    <t>Prior</t>
  </si>
  <si>
    <t>Criminal Activity CAP</t>
  </si>
  <si>
    <t>Criminal Activity</t>
  </si>
  <si>
    <t>E7a</t>
  </si>
  <si>
    <t>E7b</t>
  </si>
  <si>
    <t>B1f</t>
  </si>
  <si>
    <t>Criminal Act</t>
  </si>
  <si>
    <t>Trigger</t>
  </si>
  <si>
    <t>K1e</t>
  </si>
  <si>
    <t>Personal Finances</t>
  </si>
  <si>
    <t>K1g</t>
  </si>
  <si>
    <t>P6</t>
  </si>
  <si>
    <t>A11c</t>
  </si>
  <si>
    <t>Econ Harship</t>
  </si>
  <si>
    <t>Can't Manage</t>
  </si>
  <si>
    <t>Personal Finances CAP</t>
  </si>
  <si>
    <t>Education and Employment CAP</t>
  </si>
  <si>
    <t>Education &amp; Employment</t>
  </si>
  <si>
    <t>P5a</t>
  </si>
  <si>
    <t>P5b</t>
  </si>
  <si>
    <t>P5c</t>
  </si>
  <si>
    <t>P5d</t>
  </si>
  <si>
    <t>P1</t>
  </si>
  <si>
    <t>F1a</t>
  </si>
  <si>
    <t>F1e</t>
  </si>
  <si>
    <t>Educ &amp; Empl</t>
  </si>
  <si>
    <t>Age</t>
  </si>
  <si>
    <t xml:space="preserve">   Age</t>
  </si>
  <si>
    <t xml:space="preserve">   SubGroup 1</t>
  </si>
  <si>
    <t xml:space="preserve">   SubGroup 2</t>
  </si>
  <si>
    <t xml:space="preserve">   SubGroup 3</t>
  </si>
  <si>
    <t>Reduce risk</t>
  </si>
  <si>
    <t>Support Partic</t>
  </si>
  <si>
    <t>K1f</t>
  </si>
  <si>
    <t>Medication Mgmt and Adherence CAP</t>
  </si>
  <si>
    <t>Med Mgmt &amp; Adherence</t>
  </si>
  <si>
    <t>L2</t>
  </si>
  <si>
    <t>Enter only as relates to refusal of medication</t>
  </si>
  <si>
    <t>L3</t>
  </si>
  <si>
    <t>J5a</t>
  </si>
  <si>
    <t>J5b</t>
  </si>
  <si>
    <t>J5c</t>
  </si>
  <si>
    <t>J5d</t>
  </si>
  <si>
    <t>J5e</t>
  </si>
  <si>
    <t>J5f</t>
  </si>
  <si>
    <t>J5g</t>
  </si>
  <si>
    <t>J2a</t>
  </si>
  <si>
    <t>J2g</t>
  </si>
  <si>
    <t>J2e</t>
  </si>
  <si>
    <t>J2l</t>
  </si>
  <si>
    <t>J2o</t>
  </si>
  <si>
    <t>N2b</t>
  </si>
  <si>
    <t>R4b</t>
  </si>
  <si>
    <t>J2h</t>
  </si>
  <si>
    <t>J6b</t>
  </si>
  <si>
    <t xml:space="preserve">   Prob Cogn &amp; + Symp</t>
  </si>
  <si>
    <t xml:space="preserve">   Prev Stop d/t Side Eff</t>
  </si>
  <si>
    <t>Cogn/+Symp</t>
  </si>
  <si>
    <t>Prev Stop</t>
  </si>
  <si>
    <t>Rehospitalization CAP</t>
  </si>
  <si>
    <t>Med Mgmt/Adh</t>
  </si>
  <si>
    <t>B6c</t>
  </si>
  <si>
    <t>A14</t>
  </si>
  <si>
    <t>Rehospitalization</t>
  </si>
  <si>
    <t xml:space="preserve">   High Risk</t>
  </si>
  <si>
    <t xml:space="preserve">   Moderate Risk</t>
  </si>
  <si>
    <t>Smoking CAP</t>
  </si>
  <si>
    <t>Substance Use CAP</t>
  </si>
  <si>
    <t>Weight Management CAP</t>
  </si>
  <si>
    <t>Exercise CAP</t>
  </si>
  <si>
    <t>Sleep Disturbance CAP</t>
  </si>
  <si>
    <t>Pain CAP</t>
  </si>
  <si>
    <t>Falls CAP</t>
  </si>
  <si>
    <t>Smoking</t>
  </si>
  <si>
    <t>D9</t>
  </si>
  <si>
    <t>Withdrawal</t>
  </si>
  <si>
    <t>Enc Cess/Red</t>
  </si>
  <si>
    <t>Substance Use</t>
  </si>
  <si>
    <t>D3a</t>
  </si>
  <si>
    <t>D3b</t>
  </si>
  <si>
    <t>D3c</t>
  </si>
  <si>
    <t>D3d</t>
  </si>
  <si>
    <t>D3e</t>
  </si>
  <si>
    <t>D3f</t>
  </si>
  <si>
    <t>D4</t>
  </si>
  <si>
    <t>D1</t>
  </si>
  <si>
    <t>L4</t>
  </si>
  <si>
    <t>D5e</t>
  </si>
  <si>
    <t>Current</t>
  </si>
  <si>
    <t>Prior History</t>
  </si>
  <si>
    <t>Sum</t>
  </si>
  <si>
    <t>Current SU</t>
  </si>
  <si>
    <t>Prior Hx SU</t>
  </si>
  <si>
    <t>https://www.nhlbi.nih.gov/health/educational/lose_wt/BMI/bmicalc.htm</t>
  </si>
  <si>
    <t>N1a</t>
  </si>
  <si>
    <t>N1b</t>
  </si>
  <si>
    <t>Height: use to calculate BMI</t>
  </si>
  <si>
    <t>Weight: use to calculate BMI</t>
  </si>
  <si>
    <t>Calculate BMI</t>
  </si>
  <si>
    <t>N2a</t>
  </si>
  <si>
    <t>N3c</t>
  </si>
  <si>
    <t>N3a</t>
  </si>
  <si>
    <t>N3b</t>
  </si>
  <si>
    <t>Weight Management</t>
  </si>
  <si>
    <t xml:space="preserve">   Underweight</t>
  </si>
  <si>
    <t xml:space="preserve">   Obese</t>
  </si>
  <si>
    <t xml:space="preserve">   Low BMI &amp; rapid loss</t>
  </si>
  <si>
    <t>Body Comp</t>
  </si>
  <si>
    <t>Eating Behav</t>
  </si>
  <si>
    <t>H3</t>
  </si>
  <si>
    <t>J2k</t>
  </si>
  <si>
    <t>J4</t>
  </si>
  <si>
    <t>J2b</t>
  </si>
  <si>
    <t>J2q</t>
  </si>
  <si>
    <t>D6</t>
  </si>
  <si>
    <t>Weight Mgmt</t>
  </si>
  <si>
    <t>Exercise</t>
  </si>
  <si>
    <t xml:space="preserve">   Inc Activ - Capable</t>
  </si>
  <si>
    <t xml:space="preserve">   Inc Activ - Add'l Consid</t>
  </si>
  <si>
    <t>Sleep Disturbance</t>
  </si>
  <si>
    <t xml:space="preserve">   w/ Severe Cog Imp</t>
  </si>
  <si>
    <t xml:space="preserve">   w/o Severe Cog Imp</t>
  </si>
  <si>
    <t>C1ii</t>
  </si>
  <si>
    <t>SD w/o Cog Imp</t>
  </si>
  <si>
    <t>SD w/Cog Imp</t>
  </si>
  <si>
    <t>Capable</t>
  </si>
  <si>
    <t>Add'l Consid</t>
  </si>
  <si>
    <t xml:space="preserve">   High</t>
  </si>
  <si>
    <t>Medium</t>
  </si>
  <si>
    <t xml:space="preserve">   Medium</t>
  </si>
  <si>
    <t>Falls</t>
  </si>
  <si>
    <t xml:space="preserve">   Medium Risk</t>
  </si>
  <si>
    <t>J9</t>
  </si>
  <si>
    <t>Original order</t>
  </si>
  <si>
    <t>Enter again only as relates to refusal of medication</t>
  </si>
  <si>
    <t>Height: use to calculate BMI below</t>
  </si>
  <si>
    <t>Weight: use to calculate BMI below</t>
  </si>
  <si>
    <t>Item Hide</t>
  </si>
  <si>
    <t>Scale Hide</t>
  </si>
  <si>
    <t>Score Hide</t>
  </si>
  <si>
    <t>Notes Hide</t>
  </si>
  <si>
    <t>CAP #</t>
  </si>
  <si>
    <t>Results</t>
  </si>
  <si>
    <t>J2r</t>
  </si>
  <si>
    <t>Do not enter "8" (Activity did not occur during entire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</si>
</sst>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quotePrefix="1"/>
    <xf numFmtId="0" fontId="0" fillId="2" borderId="0" xfId="0" applyFill="1" applyAlignment="1">
      <alignment horizontal="left" indent="1"/>
    </xf>
    <xf numFmtId="0" fontId="0" fillId="2" borderId="0" xfId="0" quotePrefix="1" applyFill="1" applyAlignment="1">
      <alignment horizontal="left" indent="1"/>
    </xf>
    <xf numFmtId="0" fontId="0" fillId="3" borderId="1" xfId="0" applyFill="1" applyBorder="1"/>
    <xf numFmtId="0" fontId="0" fillId="0" borderId="0" xfId="0" applyFill="1"/>
    <xf numFmtId="0" fontId="2" fillId="0" borderId="0" xfId="1"/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hlbi.nih.gov/health/educational/lose_wt/BMI/bmicalc.htm" TargetMode="External"/><Relationship Id="rId1" Type="http://schemas.openxmlformats.org/officeDocument/2006/relationships/hyperlink" Target="https://www.nhlbi.nih.gov/health/educational/lose_wt/BMI/bmicalc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841F-4CF2-4F4C-9FAB-1165004CAEDA}">
  <dimension ref="A1:H177"/>
  <sheetViews>
    <sheetView tabSelected="1" zoomScaleNormal="100" workbookViewId="0">
      <pane ySplit="1" topLeftCell="A2" activePane="bottomLeft" state="frozen"/>
      <selection pane="bottomLeft" activeCell="C84" sqref="C84"/>
    </sheetView>
  </sheetViews>
  <sheetFormatPr defaultRowHeight="15" x14ac:dyDescent="0.25"/>
  <cols>
    <col min="1" max="1" width="13" style="7" customWidth="1"/>
    <col min="2" max="2" width="8" style="7" customWidth="1"/>
    <col min="3" max="3" width="69" style="7" customWidth="1"/>
    <col min="4" max="4" width="13.5703125" style="7" hidden="1" customWidth="1"/>
    <col min="5" max="5" width="17.28515625" hidden="1" customWidth="1"/>
    <col min="6" max="6" width="9.140625" hidden="1" customWidth="1"/>
    <col min="7" max="7" width="25.28515625" hidden="1" customWidth="1"/>
    <col min="8" max="8" width="13.85546875" hidden="1" customWidth="1"/>
  </cols>
  <sheetData>
    <row r="1" spans="1:8" x14ac:dyDescent="0.25">
      <c r="A1" s="11" t="s">
        <v>0</v>
      </c>
      <c r="B1" s="11" t="s">
        <v>1</v>
      </c>
      <c r="C1" s="11" t="s">
        <v>92</v>
      </c>
      <c r="D1" s="7" t="s">
        <v>321</v>
      </c>
      <c r="E1" t="s">
        <v>322</v>
      </c>
      <c r="F1" t="s">
        <v>323</v>
      </c>
      <c r="G1" t="s">
        <v>324</v>
      </c>
      <c r="H1" t="s">
        <v>317</v>
      </c>
    </row>
    <row r="2" spans="1:8" x14ac:dyDescent="0.25">
      <c r="A2" s="7" t="s">
        <v>196</v>
      </c>
      <c r="D2" s="7" t="s">
        <v>2</v>
      </c>
      <c r="E2" t="s">
        <v>62</v>
      </c>
      <c r="F2">
        <f>B64</f>
        <v>0</v>
      </c>
      <c r="H2">
        <v>1</v>
      </c>
    </row>
    <row r="3" spans="1:8" x14ac:dyDescent="0.25">
      <c r="A3" s="7" t="s">
        <v>246</v>
      </c>
      <c r="D3" s="7" t="s">
        <v>3</v>
      </c>
      <c r="E3" t="s">
        <v>62</v>
      </c>
      <c r="F3">
        <f>B65</f>
        <v>0</v>
      </c>
      <c r="H3">
        <v>2</v>
      </c>
    </row>
    <row r="4" spans="1:8" x14ac:dyDescent="0.25">
      <c r="A4" s="7" t="s">
        <v>189</v>
      </c>
      <c r="D4" s="7" t="s">
        <v>4</v>
      </c>
      <c r="E4" t="s">
        <v>62</v>
      </c>
      <c r="F4">
        <f>B66</f>
        <v>0</v>
      </c>
      <c r="H4">
        <v>3</v>
      </c>
    </row>
    <row r="5" spans="1:8" x14ac:dyDescent="0.25">
      <c r="A5" s="7" t="s">
        <v>245</v>
      </c>
      <c r="D5" s="7" t="s">
        <v>5</v>
      </c>
      <c r="E5" t="s">
        <v>62</v>
      </c>
      <c r="F5">
        <f>B68</f>
        <v>0</v>
      </c>
      <c r="H5">
        <v>4</v>
      </c>
    </row>
    <row r="6" spans="1:8" x14ac:dyDescent="0.25">
      <c r="A6" s="7" t="s">
        <v>30</v>
      </c>
      <c r="D6" s="7" t="s">
        <v>6</v>
      </c>
      <c r="E6" t="s">
        <v>63</v>
      </c>
      <c r="F6">
        <f>B80</f>
        <v>0</v>
      </c>
      <c r="G6" t="s">
        <v>91</v>
      </c>
      <c r="H6">
        <v>5</v>
      </c>
    </row>
    <row r="7" spans="1:8" x14ac:dyDescent="0.25">
      <c r="A7" s="7" t="s">
        <v>31</v>
      </c>
      <c r="D7" s="7" t="s">
        <v>7</v>
      </c>
      <c r="E7" t="s">
        <v>63</v>
      </c>
      <c r="F7">
        <f>B81</f>
        <v>0</v>
      </c>
      <c r="G7" t="s">
        <v>91</v>
      </c>
      <c r="H7">
        <v>6</v>
      </c>
    </row>
    <row r="8" spans="1:8" x14ac:dyDescent="0.25">
      <c r="A8" s="7" t="s">
        <v>57</v>
      </c>
      <c r="D8" s="7" t="s">
        <v>8</v>
      </c>
      <c r="E8" t="s">
        <v>63</v>
      </c>
      <c r="F8">
        <f>B82</f>
        <v>0</v>
      </c>
      <c r="G8" t="s">
        <v>91</v>
      </c>
      <c r="H8">
        <v>7</v>
      </c>
    </row>
    <row r="9" spans="1:8" x14ac:dyDescent="0.25">
      <c r="A9" s="7" t="s">
        <v>22</v>
      </c>
      <c r="D9" s="7" t="s">
        <v>9</v>
      </c>
      <c r="E9" t="s">
        <v>63</v>
      </c>
      <c r="F9">
        <f>B83</f>
        <v>0</v>
      </c>
      <c r="G9" t="s">
        <v>91</v>
      </c>
      <c r="H9">
        <v>8</v>
      </c>
    </row>
    <row r="10" spans="1:8" x14ac:dyDescent="0.25">
      <c r="A10" s="7" t="s">
        <v>32</v>
      </c>
      <c r="D10" s="7" t="s">
        <v>10</v>
      </c>
      <c r="E10" t="s">
        <v>64</v>
      </c>
      <c r="F10">
        <f>B25</f>
        <v>0</v>
      </c>
      <c r="H10">
        <v>9</v>
      </c>
    </row>
    <row r="11" spans="1:8" x14ac:dyDescent="0.25">
      <c r="A11" s="7" t="s">
        <v>27</v>
      </c>
      <c r="D11" s="7" t="s">
        <v>12</v>
      </c>
      <c r="E11" t="s">
        <v>64</v>
      </c>
      <c r="F11">
        <f>B26</f>
        <v>0</v>
      </c>
      <c r="H11">
        <v>10</v>
      </c>
    </row>
    <row r="12" spans="1:8" x14ac:dyDescent="0.25">
      <c r="A12" s="7" t="s">
        <v>28</v>
      </c>
      <c r="D12" s="7" t="s">
        <v>11</v>
      </c>
      <c r="E12" t="s">
        <v>64</v>
      </c>
      <c r="F12">
        <f>B27</f>
        <v>0</v>
      </c>
      <c r="H12">
        <v>11</v>
      </c>
    </row>
    <row r="13" spans="1:8" x14ac:dyDescent="0.25">
      <c r="A13" s="7" t="s">
        <v>39</v>
      </c>
      <c r="D13" s="7" t="s">
        <v>13</v>
      </c>
      <c r="E13" t="s">
        <v>64</v>
      </c>
      <c r="F13">
        <f>B28</f>
        <v>0</v>
      </c>
      <c r="H13">
        <v>12</v>
      </c>
    </row>
    <row r="14" spans="1:8" x14ac:dyDescent="0.25">
      <c r="A14" s="7" t="s">
        <v>40</v>
      </c>
      <c r="D14" s="7" t="s">
        <v>14</v>
      </c>
      <c r="E14" t="s">
        <v>65</v>
      </c>
      <c r="F14">
        <f>B45</f>
        <v>0</v>
      </c>
      <c r="H14">
        <v>13</v>
      </c>
    </row>
    <row r="15" spans="1:8" x14ac:dyDescent="0.25">
      <c r="A15" s="7" t="s">
        <v>41</v>
      </c>
      <c r="D15" s="7" t="s">
        <v>15</v>
      </c>
      <c r="E15" t="s">
        <v>65</v>
      </c>
      <c r="F15">
        <f>B46</f>
        <v>0</v>
      </c>
      <c r="H15">
        <v>14</v>
      </c>
    </row>
    <row r="16" spans="1:8" x14ac:dyDescent="0.25">
      <c r="A16" s="7" t="s">
        <v>42</v>
      </c>
      <c r="D16" s="7" t="s">
        <v>16</v>
      </c>
      <c r="E16" t="s">
        <v>65</v>
      </c>
      <c r="F16">
        <f>B47</f>
        <v>0</v>
      </c>
      <c r="H16">
        <v>15</v>
      </c>
    </row>
    <row r="17" spans="1:8" x14ac:dyDescent="0.25">
      <c r="A17" s="7" t="s">
        <v>43</v>
      </c>
      <c r="D17" s="7" t="s">
        <v>17</v>
      </c>
      <c r="E17" t="s">
        <v>65</v>
      </c>
      <c r="F17">
        <f>B48</f>
        <v>0</v>
      </c>
      <c r="H17">
        <v>16</v>
      </c>
    </row>
    <row r="18" spans="1:8" x14ac:dyDescent="0.25">
      <c r="A18" s="7" t="s">
        <v>44</v>
      </c>
      <c r="D18" s="7" t="s">
        <v>18</v>
      </c>
      <c r="E18" t="s">
        <v>66</v>
      </c>
      <c r="F18">
        <f>B70</f>
        <v>0</v>
      </c>
      <c r="H18">
        <v>17</v>
      </c>
    </row>
    <row r="19" spans="1:8" x14ac:dyDescent="0.25">
      <c r="A19" s="7" t="s">
        <v>26</v>
      </c>
      <c r="D19" s="7" t="s">
        <v>19</v>
      </c>
      <c r="E19" t="s">
        <v>66</v>
      </c>
      <c r="F19">
        <f>B71</f>
        <v>0</v>
      </c>
      <c r="H19">
        <v>18</v>
      </c>
    </row>
    <row r="20" spans="1:8" x14ac:dyDescent="0.25">
      <c r="A20" s="7" t="s">
        <v>24</v>
      </c>
      <c r="D20" s="7" t="s">
        <v>132</v>
      </c>
      <c r="E20" t="s">
        <v>66</v>
      </c>
      <c r="F20">
        <f>B72</f>
        <v>0</v>
      </c>
      <c r="H20">
        <v>19</v>
      </c>
    </row>
    <row r="21" spans="1:8" x14ac:dyDescent="0.25">
      <c r="A21" s="7" t="s">
        <v>48</v>
      </c>
      <c r="D21" s="7" t="s">
        <v>20</v>
      </c>
      <c r="E21" t="s">
        <v>66</v>
      </c>
      <c r="F21">
        <f>B85</f>
        <v>0</v>
      </c>
      <c r="H21">
        <v>20</v>
      </c>
    </row>
    <row r="22" spans="1:8" x14ac:dyDescent="0.25">
      <c r="A22" s="7" t="s">
        <v>49</v>
      </c>
      <c r="D22" s="7" t="s">
        <v>9</v>
      </c>
      <c r="E22" t="s">
        <v>66</v>
      </c>
      <c r="F22">
        <f>B83</f>
        <v>0</v>
      </c>
      <c r="H22">
        <v>21</v>
      </c>
    </row>
    <row r="23" spans="1:8" x14ac:dyDescent="0.25">
      <c r="A23" s="7" t="s">
        <v>50</v>
      </c>
      <c r="D23" s="7" t="s">
        <v>20</v>
      </c>
      <c r="E23" t="s">
        <v>67</v>
      </c>
      <c r="F23">
        <f>B85</f>
        <v>0</v>
      </c>
      <c r="H23">
        <v>22</v>
      </c>
    </row>
    <row r="24" spans="1:8" x14ac:dyDescent="0.25">
      <c r="A24" s="7" t="s">
        <v>51</v>
      </c>
      <c r="D24" s="7" t="s">
        <v>21</v>
      </c>
      <c r="E24" t="s">
        <v>67</v>
      </c>
      <c r="F24">
        <f>B86</f>
        <v>0</v>
      </c>
      <c r="H24">
        <v>23</v>
      </c>
    </row>
    <row r="25" spans="1:8" x14ac:dyDescent="0.25">
      <c r="A25" s="7" t="s">
        <v>10</v>
      </c>
      <c r="D25" s="7" t="s">
        <v>22</v>
      </c>
      <c r="E25" t="s">
        <v>68</v>
      </c>
      <c r="F25">
        <f>B8</f>
        <v>0</v>
      </c>
      <c r="H25">
        <v>24</v>
      </c>
    </row>
    <row r="26" spans="1:8" x14ac:dyDescent="0.25">
      <c r="A26" s="7" t="s">
        <v>12</v>
      </c>
      <c r="D26" s="7" t="s">
        <v>23</v>
      </c>
      <c r="E26" t="s">
        <v>68</v>
      </c>
      <c r="F26">
        <f>B30</f>
        <v>0</v>
      </c>
      <c r="H26">
        <v>25</v>
      </c>
    </row>
    <row r="27" spans="1:8" x14ac:dyDescent="0.25">
      <c r="A27" s="7" t="s">
        <v>11</v>
      </c>
      <c r="D27" s="7" t="s">
        <v>24</v>
      </c>
      <c r="E27" t="s">
        <v>68</v>
      </c>
      <c r="F27">
        <f>B20</f>
        <v>0</v>
      </c>
      <c r="H27">
        <v>26</v>
      </c>
    </row>
    <row r="28" spans="1:8" x14ac:dyDescent="0.25">
      <c r="A28" s="7" t="s">
        <v>13</v>
      </c>
      <c r="D28" s="7" t="s">
        <v>25</v>
      </c>
      <c r="E28" t="s">
        <v>68</v>
      </c>
      <c r="F28">
        <f>B29</f>
        <v>0</v>
      </c>
      <c r="H28">
        <v>27</v>
      </c>
    </row>
    <row r="29" spans="1:8" x14ac:dyDescent="0.25">
      <c r="A29" s="7" t="s">
        <v>25</v>
      </c>
      <c r="D29" s="7" t="s">
        <v>26</v>
      </c>
      <c r="E29" t="s">
        <v>68</v>
      </c>
      <c r="F29">
        <f>B19</f>
        <v>0</v>
      </c>
      <c r="H29">
        <v>28</v>
      </c>
    </row>
    <row r="30" spans="1:8" x14ac:dyDescent="0.25">
      <c r="A30" s="7" t="s">
        <v>23</v>
      </c>
      <c r="D30" s="7" t="s">
        <v>30</v>
      </c>
      <c r="E30" t="s">
        <v>68</v>
      </c>
      <c r="F30">
        <f>B6</f>
        <v>0</v>
      </c>
      <c r="H30">
        <v>29</v>
      </c>
    </row>
    <row r="31" spans="1:8" x14ac:dyDescent="0.25">
      <c r="A31" s="7" t="s">
        <v>52</v>
      </c>
      <c r="D31" s="7" t="s">
        <v>31</v>
      </c>
      <c r="E31" t="s">
        <v>68</v>
      </c>
      <c r="F31">
        <f>B7</f>
        <v>0</v>
      </c>
      <c r="H31">
        <v>30</v>
      </c>
    </row>
    <row r="32" spans="1:8" x14ac:dyDescent="0.25">
      <c r="A32" s="7" t="s">
        <v>120</v>
      </c>
      <c r="D32" s="7" t="s">
        <v>30</v>
      </c>
      <c r="E32" t="s">
        <v>69</v>
      </c>
      <c r="F32">
        <f>B6</f>
        <v>0</v>
      </c>
      <c r="H32">
        <v>31</v>
      </c>
    </row>
    <row r="33" spans="1:8" x14ac:dyDescent="0.25">
      <c r="A33" s="7" t="s">
        <v>55</v>
      </c>
      <c r="D33" s="7" t="s">
        <v>22</v>
      </c>
      <c r="E33" t="s">
        <v>69</v>
      </c>
      <c r="F33">
        <f>B9</f>
        <v>0</v>
      </c>
      <c r="H33">
        <v>32</v>
      </c>
    </row>
    <row r="34" spans="1:8" x14ac:dyDescent="0.25">
      <c r="A34" s="7" t="s">
        <v>306</v>
      </c>
      <c r="D34" s="7" t="s">
        <v>32</v>
      </c>
      <c r="E34" t="s">
        <v>69</v>
      </c>
      <c r="F34">
        <f>B10</f>
        <v>0</v>
      </c>
      <c r="H34">
        <v>33</v>
      </c>
    </row>
    <row r="35" spans="1:8" x14ac:dyDescent="0.25">
      <c r="A35" s="7" t="s">
        <v>45</v>
      </c>
      <c r="D35" s="7" t="s">
        <v>27</v>
      </c>
      <c r="E35" t="s">
        <v>69</v>
      </c>
      <c r="F35">
        <f>B11</f>
        <v>0</v>
      </c>
      <c r="H35">
        <v>34</v>
      </c>
    </row>
    <row r="36" spans="1:8" x14ac:dyDescent="0.25">
      <c r="A36" s="7" t="s">
        <v>56</v>
      </c>
      <c r="D36" s="7" t="s">
        <v>28</v>
      </c>
      <c r="E36" t="s">
        <v>69</v>
      </c>
      <c r="F36">
        <f>B12</f>
        <v>0</v>
      </c>
      <c r="H36">
        <v>35</v>
      </c>
    </row>
    <row r="37" spans="1:8" x14ac:dyDescent="0.25">
      <c r="A37" s="7" t="s">
        <v>269</v>
      </c>
      <c r="D37" s="7" t="s">
        <v>29</v>
      </c>
      <c r="E37" t="s">
        <v>70</v>
      </c>
      <c r="F37">
        <f>B73</f>
        <v>0</v>
      </c>
      <c r="G37" t="s">
        <v>93</v>
      </c>
      <c r="H37">
        <v>36</v>
      </c>
    </row>
    <row r="38" spans="1:8" x14ac:dyDescent="0.25">
      <c r="A38" s="7" t="s">
        <v>262</v>
      </c>
      <c r="D38" s="7" t="s">
        <v>33</v>
      </c>
      <c r="E38" t="s">
        <v>70</v>
      </c>
      <c r="F38">
        <f>B74</f>
        <v>0</v>
      </c>
      <c r="G38" t="s">
        <v>93</v>
      </c>
      <c r="H38">
        <v>37</v>
      </c>
    </row>
    <row r="39" spans="1:8" x14ac:dyDescent="0.25">
      <c r="A39" s="7" t="s">
        <v>263</v>
      </c>
      <c r="D39" s="7" t="s">
        <v>34</v>
      </c>
      <c r="E39" t="s">
        <v>70</v>
      </c>
      <c r="F39">
        <f>B75</f>
        <v>0</v>
      </c>
      <c r="G39" t="s">
        <v>93</v>
      </c>
      <c r="H39">
        <v>38</v>
      </c>
    </row>
    <row r="40" spans="1:8" x14ac:dyDescent="0.25">
      <c r="A40" s="7" t="s">
        <v>264</v>
      </c>
      <c r="D40" s="7" t="s">
        <v>35</v>
      </c>
      <c r="E40" t="s">
        <v>70</v>
      </c>
      <c r="F40">
        <f>B76</f>
        <v>0</v>
      </c>
      <c r="G40" t="s">
        <v>93</v>
      </c>
      <c r="H40">
        <v>39</v>
      </c>
    </row>
    <row r="41" spans="1:8" x14ac:dyDescent="0.25">
      <c r="A41" s="7" t="s">
        <v>265</v>
      </c>
      <c r="D41" s="7" t="s">
        <v>36</v>
      </c>
      <c r="E41" t="s">
        <v>70</v>
      </c>
      <c r="F41">
        <f>B77</f>
        <v>0</v>
      </c>
      <c r="G41" t="s">
        <v>93</v>
      </c>
      <c r="H41">
        <v>40</v>
      </c>
    </row>
    <row r="42" spans="1:8" x14ac:dyDescent="0.25">
      <c r="A42" s="7" t="s">
        <v>266</v>
      </c>
      <c r="D42" s="7" t="s">
        <v>37</v>
      </c>
      <c r="E42" t="s">
        <v>70</v>
      </c>
      <c r="F42">
        <f>B78</f>
        <v>0</v>
      </c>
      <c r="G42" t="s">
        <v>93</v>
      </c>
      <c r="H42">
        <v>41</v>
      </c>
    </row>
    <row r="43" spans="1:8" x14ac:dyDescent="0.25">
      <c r="A43" s="7" t="s">
        <v>267</v>
      </c>
      <c r="D43" s="7" t="s">
        <v>38</v>
      </c>
      <c r="E43" t="s">
        <v>70</v>
      </c>
      <c r="F43">
        <f>B79</f>
        <v>0</v>
      </c>
      <c r="G43" t="s">
        <v>93</v>
      </c>
      <c r="H43">
        <v>42</v>
      </c>
    </row>
    <row r="44" spans="1:8" x14ac:dyDescent="0.25">
      <c r="A44" s="7" t="s">
        <v>268</v>
      </c>
      <c r="D44" s="7" t="s">
        <v>39</v>
      </c>
      <c r="E44" t="s">
        <v>71</v>
      </c>
      <c r="F44">
        <f>B13</f>
        <v>0</v>
      </c>
      <c r="H44">
        <v>43</v>
      </c>
    </row>
    <row r="45" spans="1:8" x14ac:dyDescent="0.25">
      <c r="A45" s="7" t="s">
        <v>14</v>
      </c>
      <c r="D45" s="7" t="s">
        <v>40</v>
      </c>
      <c r="E45" t="s">
        <v>71</v>
      </c>
      <c r="F45">
        <f>B14</f>
        <v>0</v>
      </c>
      <c r="H45">
        <v>44</v>
      </c>
    </row>
    <row r="46" spans="1:8" x14ac:dyDescent="0.25">
      <c r="A46" s="7" t="s">
        <v>15</v>
      </c>
      <c r="D46" s="7" t="s">
        <v>41</v>
      </c>
      <c r="E46" t="s">
        <v>71</v>
      </c>
      <c r="F46">
        <f>B15</f>
        <v>0</v>
      </c>
      <c r="H46">
        <v>45</v>
      </c>
    </row>
    <row r="47" spans="1:8" x14ac:dyDescent="0.25">
      <c r="A47" s="7" t="s">
        <v>16</v>
      </c>
      <c r="D47" s="7" t="s">
        <v>42</v>
      </c>
      <c r="E47" t="s">
        <v>71</v>
      </c>
      <c r="F47">
        <f>B16</f>
        <v>0</v>
      </c>
      <c r="H47">
        <v>46</v>
      </c>
    </row>
    <row r="48" spans="1:8" x14ac:dyDescent="0.25">
      <c r="A48" s="7" t="s">
        <v>17</v>
      </c>
      <c r="D48" s="7" t="s">
        <v>43</v>
      </c>
      <c r="E48" t="s">
        <v>71</v>
      </c>
      <c r="F48">
        <f>B17</f>
        <v>0</v>
      </c>
      <c r="H48">
        <v>47</v>
      </c>
    </row>
    <row r="49" spans="1:8" x14ac:dyDescent="0.25">
      <c r="A49" s="7" t="s">
        <v>271</v>
      </c>
      <c r="D49" s="7" t="s">
        <v>44</v>
      </c>
      <c r="E49" t="s">
        <v>71</v>
      </c>
      <c r="F49">
        <f>B18</f>
        <v>0</v>
      </c>
      <c r="H49">
        <v>48</v>
      </c>
    </row>
    <row r="50" spans="1:8" x14ac:dyDescent="0.25">
      <c r="A50" s="7" t="s">
        <v>298</v>
      </c>
      <c r="D50" s="7" t="s">
        <v>45</v>
      </c>
      <c r="E50" t="s">
        <v>71</v>
      </c>
      <c r="F50">
        <f>B35</f>
        <v>0</v>
      </c>
      <c r="H50">
        <v>49</v>
      </c>
    </row>
    <row r="51" spans="1:8" x14ac:dyDescent="0.25">
      <c r="A51" s="7" t="s">
        <v>258</v>
      </c>
      <c r="D51" s="7" t="s">
        <v>46</v>
      </c>
      <c r="E51" t="s">
        <v>72</v>
      </c>
      <c r="F51">
        <f>B107</f>
        <v>0</v>
      </c>
      <c r="H51">
        <v>50</v>
      </c>
    </row>
    <row r="52" spans="1:8" x14ac:dyDescent="0.25">
      <c r="A52" s="7" t="s">
        <v>58</v>
      </c>
      <c r="D52" s="7" t="s">
        <v>47</v>
      </c>
      <c r="E52" t="s">
        <v>72</v>
      </c>
      <c r="F52">
        <f>B108</f>
        <v>0</v>
      </c>
      <c r="H52">
        <v>51</v>
      </c>
    </row>
    <row r="53" spans="1:8" x14ac:dyDescent="0.25">
      <c r="A53" s="7" t="s">
        <v>59</v>
      </c>
      <c r="D53" s="7" t="s">
        <v>48</v>
      </c>
      <c r="E53" t="s">
        <v>73</v>
      </c>
      <c r="F53">
        <f>B21</f>
        <v>0</v>
      </c>
      <c r="H53">
        <v>52</v>
      </c>
    </row>
    <row r="54" spans="1:8" x14ac:dyDescent="0.25">
      <c r="A54" s="7" t="s">
        <v>60</v>
      </c>
      <c r="D54" s="7" t="s">
        <v>49</v>
      </c>
      <c r="E54" t="s">
        <v>73</v>
      </c>
      <c r="F54">
        <f>B22</f>
        <v>0</v>
      </c>
      <c r="H54">
        <v>53</v>
      </c>
    </row>
    <row r="55" spans="1:8" x14ac:dyDescent="0.25">
      <c r="A55" s="7" t="s">
        <v>142</v>
      </c>
      <c r="D55" s="7" t="s">
        <v>50</v>
      </c>
      <c r="E55" t="s">
        <v>73</v>
      </c>
      <c r="F55">
        <f>B23</f>
        <v>0</v>
      </c>
      <c r="H55">
        <v>54</v>
      </c>
    </row>
    <row r="56" spans="1:8" x14ac:dyDescent="0.25">
      <c r="A56" s="7" t="s">
        <v>115</v>
      </c>
      <c r="D56" s="7" t="s">
        <v>51</v>
      </c>
      <c r="E56" t="s">
        <v>73</v>
      </c>
      <c r="F56">
        <f>B24</f>
        <v>0</v>
      </c>
      <c r="H56">
        <v>55</v>
      </c>
    </row>
    <row r="57" spans="1:8" x14ac:dyDescent="0.25">
      <c r="A57" s="7" t="s">
        <v>116</v>
      </c>
      <c r="D57" s="7" t="s">
        <v>39</v>
      </c>
      <c r="E57" t="s">
        <v>73</v>
      </c>
      <c r="F57">
        <f>B13</f>
        <v>0</v>
      </c>
      <c r="H57">
        <v>56</v>
      </c>
    </row>
    <row r="58" spans="1:8" x14ac:dyDescent="0.25">
      <c r="A58" s="7" t="s">
        <v>53</v>
      </c>
      <c r="D58" s="7" t="s">
        <v>40</v>
      </c>
      <c r="E58" t="s">
        <v>73</v>
      </c>
      <c r="F58">
        <f>B14</f>
        <v>0</v>
      </c>
      <c r="H58">
        <v>57</v>
      </c>
    </row>
    <row r="59" spans="1:8" x14ac:dyDescent="0.25">
      <c r="A59" s="7" t="s">
        <v>117</v>
      </c>
      <c r="D59" s="7" t="s">
        <v>43</v>
      </c>
      <c r="E59" t="s">
        <v>73</v>
      </c>
      <c r="F59">
        <f>B17</f>
        <v>0</v>
      </c>
      <c r="H59">
        <v>58</v>
      </c>
    </row>
    <row r="60" spans="1:8" x14ac:dyDescent="0.25">
      <c r="A60" s="7" t="s">
        <v>54</v>
      </c>
      <c r="D60" s="7" t="s">
        <v>52</v>
      </c>
      <c r="E60" t="s">
        <v>73</v>
      </c>
      <c r="F60">
        <f>B31</f>
        <v>0</v>
      </c>
      <c r="H60">
        <v>59</v>
      </c>
    </row>
    <row r="61" spans="1:8" x14ac:dyDescent="0.25">
      <c r="A61" s="7" t="s">
        <v>187</v>
      </c>
      <c r="D61" s="7" t="s">
        <v>53</v>
      </c>
      <c r="E61" t="s">
        <v>74</v>
      </c>
      <c r="F61">
        <f>B58</f>
        <v>0</v>
      </c>
      <c r="H61">
        <v>60</v>
      </c>
    </row>
    <row r="62" spans="1:8" x14ac:dyDescent="0.25">
      <c r="A62" s="7" t="s">
        <v>188</v>
      </c>
      <c r="D62" s="7" t="s">
        <v>54</v>
      </c>
      <c r="E62" t="s">
        <v>74</v>
      </c>
      <c r="F62">
        <f>B60</f>
        <v>0</v>
      </c>
      <c r="H62">
        <v>61</v>
      </c>
    </row>
    <row r="63" spans="1:8" x14ac:dyDescent="0.25">
      <c r="A63" s="7" t="s">
        <v>207</v>
      </c>
      <c r="D63" s="7" t="s">
        <v>45</v>
      </c>
      <c r="E63" t="s">
        <v>74</v>
      </c>
      <c r="F63">
        <f>B35</f>
        <v>0</v>
      </c>
      <c r="H63">
        <v>62</v>
      </c>
    </row>
    <row r="64" spans="1:8" x14ac:dyDescent="0.25">
      <c r="A64" s="7" t="s">
        <v>2</v>
      </c>
      <c r="D64" s="7" t="s">
        <v>115</v>
      </c>
      <c r="E64" t="s">
        <v>74</v>
      </c>
      <c r="F64">
        <f>B56</f>
        <v>0</v>
      </c>
      <c r="H64">
        <v>63</v>
      </c>
    </row>
    <row r="65" spans="1:8" x14ac:dyDescent="0.25">
      <c r="A65" s="7" t="s">
        <v>3</v>
      </c>
      <c r="D65" s="7" t="s">
        <v>116</v>
      </c>
      <c r="E65" t="s">
        <v>74</v>
      </c>
      <c r="F65">
        <f>B57</f>
        <v>0</v>
      </c>
      <c r="H65">
        <v>64</v>
      </c>
    </row>
    <row r="66" spans="1:8" x14ac:dyDescent="0.25">
      <c r="A66" s="7" t="s">
        <v>4</v>
      </c>
      <c r="D66" s="7" t="s">
        <v>117</v>
      </c>
      <c r="E66" t="s">
        <v>74</v>
      </c>
      <c r="F66">
        <f>B59</f>
        <v>0</v>
      </c>
      <c r="H66">
        <v>65</v>
      </c>
    </row>
    <row r="67" spans="1:8" x14ac:dyDescent="0.25">
      <c r="A67" s="7" t="s">
        <v>208</v>
      </c>
      <c r="D67" s="7" t="s">
        <v>50</v>
      </c>
      <c r="E67" t="s">
        <v>74</v>
      </c>
      <c r="F67">
        <f>B23</f>
        <v>0</v>
      </c>
      <c r="H67">
        <v>66</v>
      </c>
    </row>
    <row r="68" spans="1:8" x14ac:dyDescent="0.25">
      <c r="A68" s="7" t="s">
        <v>5</v>
      </c>
      <c r="D68" s="7" t="s">
        <v>55</v>
      </c>
      <c r="E68" t="s">
        <v>74</v>
      </c>
      <c r="F68">
        <f>B33</f>
        <v>0</v>
      </c>
      <c r="H68">
        <v>67</v>
      </c>
    </row>
    <row r="69" spans="1:8" x14ac:dyDescent="0.25">
      <c r="A69" s="7" t="s">
        <v>5</v>
      </c>
      <c r="C69" t="s">
        <v>318</v>
      </c>
      <c r="D69" s="7" t="s">
        <v>56</v>
      </c>
      <c r="E69" t="s">
        <v>74</v>
      </c>
      <c r="F69">
        <f>B36</f>
        <v>0</v>
      </c>
      <c r="H69">
        <v>68</v>
      </c>
    </row>
    <row r="70" spans="1:8" x14ac:dyDescent="0.25">
      <c r="A70" s="7" t="s">
        <v>18</v>
      </c>
      <c r="D70" s="7" t="s">
        <v>18</v>
      </c>
      <c r="E70" t="s">
        <v>75</v>
      </c>
      <c r="F70">
        <f>B70</f>
        <v>0</v>
      </c>
      <c r="H70">
        <v>69</v>
      </c>
    </row>
    <row r="71" spans="1:8" x14ac:dyDescent="0.25">
      <c r="A71" s="7" t="s">
        <v>19</v>
      </c>
      <c r="D71" s="7" t="s">
        <v>56</v>
      </c>
      <c r="E71" t="s">
        <v>75</v>
      </c>
      <c r="F71">
        <f>B36</f>
        <v>0</v>
      </c>
      <c r="H71">
        <v>70</v>
      </c>
    </row>
    <row r="72" spans="1:8" x14ac:dyDescent="0.25">
      <c r="A72" s="7" t="s">
        <v>132</v>
      </c>
      <c r="D72" s="7" t="s">
        <v>20</v>
      </c>
      <c r="E72" t="s">
        <v>75</v>
      </c>
      <c r="F72">
        <f>B85</f>
        <v>0</v>
      </c>
      <c r="H72">
        <v>71</v>
      </c>
    </row>
    <row r="73" spans="1:8" x14ac:dyDescent="0.25">
      <c r="A73" s="7" t="s">
        <v>29</v>
      </c>
      <c r="C73" t="s">
        <v>93</v>
      </c>
      <c r="D73" s="7" t="s">
        <v>51</v>
      </c>
      <c r="E73" t="s">
        <v>75</v>
      </c>
      <c r="F73">
        <f>B24</f>
        <v>0</v>
      </c>
      <c r="H73">
        <v>72</v>
      </c>
    </row>
    <row r="74" spans="1:8" x14ac:dyDescent="0.25">
      <c r="A74" s="7" t="s">
        <v>33</v>
      </c>
      <c r="C74" t="s">
        <v>93</v>
      </c>
      <c r="D74" s="7" t="s">
        <v>57</v>
      </c>
      <c r="E74" t="s">
        <v>75</v>
      </c>
      <c r="F74">
        <f>B8</f>
        <v>0</v>
      </c>
      <c r="H74">
        <v>73</v>
      </c>
    </row>
    <row r="75" spans="1:8" x14ac:dyDescent="0.25">
      <c r="A75" s="7" t="s">
        <v>34</v>
      </c>
      <c r="C75" t="s">
        <v>93</v>
      </c>
      <c r="D75" s="7" t="s">
        <v>120</v>
      </c>
      <c r="E75" t="s">
        <v>75</v>
      </c>
      <c r="F75">
        <f>B32</f>
        <v>0</v>
      </c>
      <c r="H75">
        <v>74</v>
      </c>
    </row>
    <row r="76" spans="1:8" x14ac:dyDescent="0.25">
      <c r="A76" s="7" t="s">
        <v>35</v>
      </c>
      <c r="C76" t="s">
        <v>93</v>
      </c>
      <c r="D76" s="7" t="s">
        <v>10</v>
      </c>
      <c r="E76" t="s">
        <v>75</v>
      </c>
      <c r="F76">
        <f>B25</f>
        <v>0</v>
      </c>
      <c r="H76">
        <v>75</v>
      </c>
    </row>
    <row r="77" spans="1:8" x14ac:dyDescent="0.25">
      <c r="A77" s="7" t="s">
        <v>36</v>
      </c>
      <c r="C77" t="s">
        <v>93</v>
      </c>
      <c r="D77" s="7" t="s">
        <v>58</v>
      </c>
      <c r="E77" t="s">
        <v>76</v>
      </c>
      <c r="F77">
        <f>B52</f>
        <v>0</v>
      </c>
      <c r="H77">
        <v>76</v>
      </c>
    </row>
    <row r="78" spans="1:8" x14ac:dyDescent="0.25">
      <c r="A78" s="7" t="s">
        <v>37</v>
      </c>
      <c r="C78" t="s">
        <v>93</v>
      </c>
      <c r="D78" s="7" t="s">
        <v>59</v>
      </c>
      <c r="E78" t="s">
        <v>76</v>
      </c>
      <c r="F78">
        <f>B53</f>
        <v>0</v>
      </c>
      <c r="H78">
        <v>77</v>
      </c>
    </row>
    <row r="79" spans="1:8" x14ac:dyDescent="0.25">
      <c r="A79" s="7" t="s">
        <v>38</v>
      </c>
      <c r="C79" t="s">
        <v>93</v>
      </c>
      <c r="D79" s="7" t="s">
        <v>60</v>
      </c>
      <c r="E79" t="s">
        <v>76</v>
      </c>
      <c r="F79">
        <f>B54</f>
        <v>0</v>
      </c>
      <c r="H79">
        <v>78</v>
      </c>
    </row>
    <row r="80" spans="1:8" x14ac:dyDescent="0.25">
      <c r="A80" s="7" t="s">
        <v>6</v>
      </c>
      <c r="D80" s="7" t="s">
        <v>142</v>
      </c>
      <c r="E80" t="s">
        <v>76</v>
      </c>
      <c r="F80">
        <f>B55</f>
        <v>0</v>
      </c>
      <c r="H80">
        <v>79</v>
      </c>
    </row>
    <row r="81" spans="1:8" x14ac:dyDescent="0.25">
      <c r="A81" s="7" t="s">
        <v>7</v>
      </c>
      <c r="D81" s="7" t="s">
        <v>98</v>
      </c>
      <c r="E81" t="s">
        <v>106</v>
      </c>
      <c r="F81">
        <f>B133</f>
        <v>0</v>
      </c>
      <c r="H81">
        <v>80</v>
      </c>
    </row>
    <row r="82" spans="1:8" x14ac:dyDescent="0.25">
      <c r="A82" s="7" t="s">
        <v>8</v>
      </c>
      <c r="D82" s="7" t="s">
        <v>99</v>
      </c>
      <c r="E82" t="s">
        <v>106</v>
      </c>
      <c r="F82">
        <f>B134</f>
        <v>0</v>
      </c>
      <c r="H82">
        <v>81</v>
      </c>
    </row>
    <row r="83" spans="1:8" x14ac:dyDescent="0.25">
      <c r="A83" s="7" t="s">
        <v>9</v>
      </c>
      <c r="C83" s="7" t="s">
        <v>328</v>
      </c>
      <c r="D83" s="7" t="s">
        <v>192</v>
      </c>
      <c r="E83" t="s">
        <v>106</v>
      </c>
      <c r="F83">
        <f>B111</f>
        <v>0</v>
      </c>
      <c r="H83">
        <v>82</v>
      </c>
    </row>
    <row r="84" spans="1:8" x14ac:dyDescent="0.25">
      <c r="A84" s="7" t="s">
        <v>293</v>
      </c>
      <c r="D84" s="7" t="s">
        <v>100</v>
      </c>
      <c r="E84" t="s">
        <v>106</v>
      </c>
      <c r="F84">
        <f>B135</f>
        <v>0</v>
      </c>
      <c r="H84">
        <v>83</v>
      </c>
    </row>
    <row r="85" spans="1:8" x14ac:dyDescent="0.25">
      <c r="A85" s="7" t="s">
        <v>20</v>
      </c>
      <c r="D85" s="7" t="s">
        <v>101</v>
      </c>
      <c r="E85" t="s">
        <v>106</v>
      </c>
      <c r="F85">
        <f>B136</f>
        <v>0</v>
      </c>
      <c r="H85">
        <v>84</v>
      </c>
    </row>
    <row r="86" spans="1:8" x14ac:dyDescent="0.25">
      <c r="A86" s="7" t="s">
        <v>21</v>
      </c>
      <c r="D86" s="7" t="s">
        <v>102</v>
      </c>
      <c r="E86" t="s">
        <v>106</v>
      </c>
      <c r="F86">
        <f>B137</f>
        <v>0</v>
      </c>
      <c r="H86">
        <v>85</v>
      </c>
    </row>
    <row r="87" spans="1:8" x14ac:dyDescent="0.25">
      <c r="A87" s="7" t="s">
        <v>230</v>
      </c>
      <c r="D87" s="7" t="s">
        <v>103</v>
      </c>
      <c r="E87" t="s">
        <v>106</v>
      </c>
      <c r="F87">
        <f>B138</f>
        <v>0</v>
      </c>
      <c r="H87">
        <v>86</v>
      </c>
    </row>
    <row r="88" spans="1:8" x14ac:dyDescent="0.25">
      <c r="A88" s="7" t="s">
        <v>296</v>
      </c>
      <c r="D88" s="7" t="s">
        <v>12</v>
      </c>
      <c r="E88" t="s">
        <v>106</v>
      </c>
      <c r="F88">
        <f>B26</f>
        <v>0</v>
      </c>
      <c r="H88">
        <v>87</v>
      </c>
    </row>
    <row r="89" spans="1:8" x14ac:dyDescent="0.25">
      <c r="A89" s="7" t="s">
        <v>232</v>
      </c>
      <c r="D89" s="7" t="s">
        <v>13</v>
      </c>
      <c r="E89" t="s">
        <v>106</v>
      </c>
      <c r="F89">
        <f>B28</f>
        <v>0</v>
      </c>
      <c r="H89">
        <v>88</v>
      </c>
    </row>
    <row r="90" spans="1:8" x14ac:dyDescent="0.25">
      <c r="A90" s="7" t="s">
        <v>231</v>
      </c>
      <c r="D90" s="7" t="s">
        <v>104</v>
      </c>
      <c r="E90" t="s">
        <v>106</v>
      </c>
      <c r="F90">
        <f>B139</f>
        <v>0</v>
      </c>
      <c r="H90">
        <v>89</v>
      </c>
    </row>
    <row r="91" spans="1:8" x14ac:dyDescent="0.25">
      <c r="A91" s="7" t="s">
        <v>237</v>
      </c>
      <c r="D91" s="7" t="s">
        <v>105</v>
      </c>
      <c r="E91" t="s">
        <v>106</v>
      </c>
      <c r="F91">
        <f>B140</f>
        <v>0</v>
      </c>
      <c r="H91">
        <v>90</v>
      </c>
    </row>
    <row r="92" spans="1:8" x14ac:dyDescent="0.25">
      <c r="A92" s="7" t="s">
        <v>294</v>
      </c>
      <c r="D92" s="7" t="s">
        <v>167</v>
      </c>
      <c r="E92" t="s">
        <v>178</v>
      </c>
      <c r="F92">
        <f>B109</f>
        <v>0</v>
      </c>
      <c r="H92">
        <v>91</v>
      </c>
    </row>
    <row r="93" spans="1:8" x14ac:dyDescent="0.25">
      <c r="A93" s="7" t="s">
        <v>233</v>
      </c>
      <c r="D93" s="7" t="s">
        <v>168</v>
      </c>
      <c r="E93" t="s">
        <v>178</v>
      </c>
      <c r="F93">
        <f>B110</f>
        <v>0</v>
      </c>
      <c r="H93">
        <v>92</v>
      </c>
    </row>
    <row r="94" spans="1:8" x14ac:dyDescent="0.25">
      <c r="A94" s="7" t="s">
        <v>234</v>
      </c>
      <c r="D94" s="7" t="s">
        <v>169</v>
      </c>
      <c r="E94" t="s">
        <v>178</v>
      </c>
      <c r="F94">
        <f>B114</f>
        <v>0</v>
      </c>
      <c r="H94">
        <v>93</v>
      </c>
    </row>
    <row r="95" spans="1:8" x14ac:dyDescent="0.25">
      <c r="A95" s="7" t="s">
        <v>297</v>
      </c>
      <c r="D95" s="7" t="s">
        <v>170</v>
      </c>
      <c r="E95" t="s">
        <v>178</v>
      </c>
      <c r="F95">
        <f>B115</f>
        <v>0</v>
      </c>
      <c r="H95">
        <v>94</v>
      </c>
    </row>
    <row r="96" spans="1:8" x14ac:dyDescent="0.25">
      <c r="A96" s="7" t="s">
        <v>327</v>
      </c>
      <c r="D96" s="7" t="s">
        <v>171</v>
      </c>
      <c r="E96" t="s">
        <v>178</v>
      </c>
      <c r="F96">
        <f>B116</f>
        <v>0</v>
      </c>
      <c r="H96">
        <v>95</v>
      </c>
    </row>
    <row r="97" spans="1:8" x14ac:dyDescent="0.25">
      <c r="A97" s="7" t="s">
        <v>295</v>
      </c>
      <c r="D97" s="7" t="s">
        <v>172</v>
      </c>
      <c r="E97" t="s">
        <v>178</v>
      </c>
      <c r="F97">
        <f>B117</f>
        <v>0</v>
      </c>
      <c r="H97">
        <v>96</v>
      </c>
    </row>
    <row r="98" spans="1:8" x14ac:dyDescent="0.25">
      <c r="A98" s="7" t="s">
        <v>223</v>
      </c>
      <c r="D98" s="7" t="s">
        <v>173</v>
      </c>
      <c r="E98" t="s">
        <v>178</v>
      </c>
      <c r="F98">
        <f>B118</f>
        <v>0</v>
      </c>
      <c r="H98">
        <v>97</v>
      </c>
    </row>
    <row r="99" spans="1:8" x14ac:dyDescent="0.25">
      <c r="A99" s="7" t="s">
        <v>224</v>
      </c>
      <c r="D99" s="7" t="s">
        <v>174</v>
      </c>
      <c r="E99" t="s">
        <v>178</v>
      </c>
      <c r="F99">
        <f>B119</f>
        <v>0</v>
      </c>
      <c r="H99">
        <v>98</v>
      </c>
    </row>
    <row r="100" spans="1:8" x14ac:dyDescent="0.25">
      <c r="A100" s="7" t="s">
        <v>225</v>
      </c>
      <c r="D100" s="7" t="s">
        <v>177</v>
      </c>
      <c r="E100" t="s">
        <v>178</v>
      </c>
      <c r="F100">
        <f>B120</f>
        <v>0</v>
      </c>
      <c r="H100">
        <v>99</v>
      </c>
    </row>
    <row r="101" spans="1:8" x14ac:dyDescent="0.25">
      <c r="A101" s="7" t="s">
        <v>226</v>
      </c>
      <c r="D101" s="7" t="s">
        <v>175</v>
      </c>
      <c r="E101" t="s">
        <v>178</v>
      </c>
      <c r="F101">
        <f>B121</f>
        <v>0</v>
      </c>
      <c r="H101">
        <v>100</v>
      </c>
    </row>
    <row r="102" spans="1:8" x14ac:dyDescent="0.25">
      <c r="A102" s="7" t="s">
        <v>227</v>
      </c>
      <c r="D102" s="7" t="s">
        <v>176</v>
      </c>
      <c r="E102" t="s">
        <v>178</v>
      </c>
      <c r="F102">
        <f>B122</f>
        <v>0</v>
      </c>
      <c r="H102">
        <v>101</v>
      </c>
    </row>
    <row r="103" spans="1:8" x14ac:dyDescent="0.25">
      <c r="A103" s="7" t="s">
        <v>228</v>
      </c>
      <c r="D103" s="7" t="s">
        <v>187</v>
      </c>
      <c r="E103" t="s">
        <v>190</v>
      </c>
      <c r="F103">
        <f>B61</f>
        <v>0</v>
      </c>
      <c r="H103">
        <v>102</v>
      </c>
    </row>
    <row r="104" spans="1:8" x14ac:dyDescent="0.25">
      <c r="A104" s="7" t="s">
        <v>229</v>
      </c>
      <c r="D104" s="7" t="s">
        <v>188</v>
      </c>
      <c r="E104" t="s">
        <v>190</v>
      </c>
      <c r="F104">
        <f>B62</f>
        <v>0</v>
      </c>
      <c r="H104">
        <v>103</v>
      </c>
    </row>
    <row r="105" spans="1:8" x14ac:dyDescent="0.25">
      <c r="A105" s="7" t="s">
        <v>238</v>
      </c>
      <c r="D105" s="7" t="s">
        <v>189</v>
      </c>
      <c r="E105" t="s">
        <v>190</v>
      </c>
      <c r="F105">
        <f>B4</f>
        <v>0</v>
      </c>
      <c r="H105">
        <v>104</v>
      </c>
    </row>
    <row r="106" spans="1:8" x14ac:dyDescent="0.25">
      <c r="A106" s="7" t="s">
        <v>316</v>
      </c>
      <c r="D106" s="7" t="s">
        <v>194</v>
      </c>
      <c r="E106" t="s">
        <v>193</v>
      </c>
      <c r="F106">
        <f>B113</f>
        <v>0</v>
      </c>
      <c r="H106">
        <v>105</v>
      </c>
    </row>
    <row r="107" spans="1:8" x14ac:dyDescent="0.25">
      <c r="A107" s="7" t="s">
        <v>46</v>
      </c>
      <c r="D107" s="7" t="s">
        <v>195</v>
      </c>
      <c r="E107" t="s">
        <v>193</v>
      </c>
      <c r="F107">
        <f>B146</f>
        <v>0</v>
      </c>
      <c r="H107">
        <v>106</v>
      </c>
    </row>
    <row r="108" spans="1:8" x14ac:dyDescent="0.25">
      <c r="A108" s="7" t="s">
        <v>47</v>
      </c>
      <c r="D108" s="7" t="s">
        <v>196</v>
      </c>
      <c r="E108" t="s">
        <v>193</v>
      </c>
      <c r="F108">
        <f>B2</f>
        <v>0</v>
      </c>
      <c r="H108">
        <v>107</v>
      </c>
    </row>
    <row r="109" spans="1:8" x14ac:dyDescent="0.25">
      <c r="A109" s="7" t="s">
        <v>167</v>
      </c>
      <c r="D109" s="7" t="s">
        <v>34</v>
      </c>
      <c r="E109" t="s">
        <v>193</v>
      </c>
      <c r="F109">
        <f>B75</f>
        <v>0</v>
      </c>
      <c r="H109">
        <v>108</v>
      </c>
    </row>
    <row r="110" spans="1:8" x14ac:dyDescent="0.25">
      <c r="A110" s="7" t="s">
        <v>168</v>
      </c>
      <c r="D110" s="7" t="s">
        <v>202</v>
      </c>
      <c r="E110" t="s">
        <v>209</v>
      </c>
      <c r="F110">
        <f>B142</f>
        <v>0</v>
      </c>
      <c r="H110">
        <v>109</v>
      </c>
    </row>
    <row r="111" spans="1:8" x14ac:dyDescent="0.25">
      <c r="A111" s="7" t="s">
        <v>192</v>
      </c>
      <c r="D111" s="7" t="s">
        <v>203</v>
      </c>
      <c r="E111" t="s">
        <v>209</v>
      </c>
      <c r="F111">
        <f>B143</f>
        <v>0</v>
      </c>
      <c r="H111">
        <v>110</v>
      </c>
    </row>
    <row r="112" spans="1:8" x14ac:dyDescent="0.25">
      <c r="A112" s="7" t="s">
        <v>217</v>
      </c>
      <c r="D112" s="7" t="s">
        <v>204</v>
      </c>
      <c r="E112" t="s">
        <v>209</v>
      </c>
      <c r="F112">
        <f>B144</f>
        <v>0</v>
      </c>
      <c r="H112">
        <v>111</v>
      </c>
    </row>
    <row r="113" spans="1:8" x14ac:dyDescent="0.25">
      <c r="A113" s="7" t="s">
        <v>194</v>
      </c>
      <c r="D113" s="7" t="s">
        <v>205</v>
      </c>
      <c r="E113" t="s">
        <v>209</v>
      </c>
      <c r="F113">
        <f>B145</f>
        <v>0</v>
      </c>
      <c r="H113">
        <v>112</v>
      </c>
    </row>
    <row r="114" spans="1:8" x14ac:dyDescent="0.25">
      <c r="A114" s="7" t="s">
        <v>169</v>
      </c>
      <c r="D114" s="7" t="s">
        <v>206</v>
      </c>
      <c r="E114" t="s">
        <v>209</v>
      </c>
      <c r="F114">
        <f>B141</f>
        <v>0</v>
      </c>
      <c r="H114">
        <v>113</v>
      </c>
    </row>
    <row r="115" spans="1:8" x14ac:dyDescent="0.25">
      <c r="A115" s="7" t="s">
        <v>170</v>
      </c>
      <c r="D115" s="7" t="s">
        <v>56</v>
      </c>
      <c r="E115" t="s">
        <v>209</v>
      </c>
      <c r="F115">
        <f>B36</f>
        <v>0</v>
      </c>
      <c r="H115">
        <v>114</v>
      </c>
    </row>
    <row r="116" spans="1:8" x14ac:dyDescent="0.25">
      <c r="A116" s="7" t="s">
        <v>171</v>
      </c>
      <c r="D116" s="7" t="s">
        <v>207</v>
      </c>
      <c r="E116" t="s">
        <v>209</v>
      </c>
      <c r="F116">
        <f>B63</f>
        <v>0</v>
      </c>
      <c r="H116">
        <v>115</v>
      </c>
    </row>
    <row r="117" spans="1:8" x14ac:dyDescent="0.25">
      <c r="A117" s="7" t="s">
        <v>172</v>
      </c>
      <c r="D117" s="7" t="s">
        <v>208</v>
      </c>
      <c r="E117" t="s">
        <v>209</v>
      </c>
      <c r="F117">
        <f>B67</f>
        <v>0</v>
      </c>
      <c r="H117">
        <v>116</v>
      </c>
    </row>
    <row r="118" spans="1:8" x14ac:dyDescent="0.25">
      <c r="A118" s="7" t="s">
        <v>173</v>
      </c>
      <c r="D118" s="7" t="s">
        <v>217</v>
      </c>
      <c r="E118" t="s">
        <v>209</v>
      </c>
      <c r="F118">
        <f>B112</f>
        <v>0</v>
      </c>
      <c r="H118">
        <v>117</v>
      </c>
    </row>
    <row r="119" spans="1:8" x14ac:dyDescent="0.25">
      <c r="A119" s="7" t="s">
        <v>174</v>
      </c>
      <c r="D119" s="7" t="s">
        <v>210</v>
      </c>
      <c r="E119" t="s">
        <v>209</v>
      </c>
      <c r="F119">
        <f>B148</f>
        <v>0</v>
      </c>
      <c r="H119">
        <v>118</v>
      </c>
    </row>
    <row r="120" spans="1:8" x14ac:dyDescent="0.25">
      <c r="A120" s="7" t="s">
        <v>177</v>
      </c>
      <c r="D120" s="7" t="s">
        <v>48</v>
      </c>
      <c r="E120" t="s">
        <v>244</v>
      </c>
      <c r="F120">
        <f>B21</f>
        <v>0</v>
      </c>
      <c r="H120">
        <v>119</v>
      </c>
    </row>
    <row r="121" spans="1:8" x14ac:dyDescent="0.25">
      <c r="A121" s="7" t="s">
        <v>175</v>
      </c>
      <c r="D121" s="7" t="s">
        <v>49</v>
      </c>
      <c r="E121" t="s">
        <v>244</v>
      </c>
      <c r="F121">
        <f>B22</f>
        <v>0</v>
      </c>
      <c r="H121">
        <v>120</v>
      </c>
    </row>
    <row r="122" spans="1:8" x14ac:dyDescent="0.25">
      <c r="A122" s="7" t="s">
        <v>176</v>
      </c>
      <c r="D122" s="7" t="s">
        <v>50</v>
      </c>
      <c r="E122" t="s">
        <v>244</v>
      </c>
      <c r="F122">
        <f>B23</f>
        <v>0</v>
      </c>
      <c r="H122">
        <v>121</v>
      </c>
    </row>
    <row r="123" spans="1:8" x14ac:dyDescent="0.25">
      <c r="A123" s="7" t="s">
        <v>220</v>
      </c>
      <c r="D123" s="7" t="s">
        <v>51</v>
      </c>
      <c r="E123" t="s">
        <v>244</v>
      </c>
      <c r="F123">
        <f>B24</f>
        <v>0</v>
      </c>
      <c r="H123">
        <v>122</v>
      </c>
    </row>
    <row r="124" spans="1:8" x14ac:dyDescent="0.25">
      <c r="A124" s="7" t="s">
        <v>222</v>
      </c>
      <c r="D124" s="7" t="s">
        <v>220</v>
      </c>
      <c r="E124" t="s">
        <v>244</v>
      </c>
      <c r="F124">
        <f>B123</f>
        <v>0</v>
      </c>
      <c r="H124">
        <v>123</v>
      </c>
    </row>
    <row r="125" spans="1:8" x14ac:dyDescent="0.25">
      <c r="A125" s="7" t="s">
        <v>270</v>
      </c>
      <c r="D125" s="7" t="s">
        <v>5</v>
      </c>
      <c r="E125" t="s">
        <v>244</v>
      </c>
      <c r="F125">
        <f>B69</f>
        <v>0</v>
      </c>
      <c r="G125" t="s">
        <v>221</v>
      </c>
      <c r="H125">
        <v>124</v>
      </c>
    </row>
    <row r="126" spans="1:8" x14ac:dyDescent="0.25">
      <c r="A126" s="7" t="s">
        <v>278</v>
      </c>
      <c r="C126" t="s">
        <v>319</v>
      </c>
      <c r="D126" s="7" t="s">
        <v>35</v>
      </c>
      <c r="E126" t="s">
        <v>244</v>
      </c>
      <c r="F126">
        <f>B76</f>
        <v>0</v>
      </c>
      <c r="H126">
        <v>125</v>
      </c>
    </row>
    <row r="127" spans="1:8" x14ac:dyDescent="0.25">
      <c r="A127" s="7" t="s">
        <v>279</v>
      </c>
      <c r="C127" t="s">
        <v>320</v>
      </c>
      <c r="D127" s="7" t="s">
        <v>222</v>
      </c>
      <c r="E127" t="s">
        <v>244</v>
      </c>
      <c r="F127">
        <f>B124</f>
        <v>0</v>
      </c>
      <c r="H127">
        <v>126</v>
      </c>
    </row>
    <row r="128" spans="1:8" x14ac:dyDescent="0.25">
      <c r="A128" s="7" t="s">
        <v>283</v>
      </c>
      <c r="D128" s="7" t="s">
        <v>223</v>
      </c>
      <c r="E128" t="s">
        <v>244</v>
      </c>
      <c r="F128">
        <f>B98</f>
        <v>0</v>
      </c>
      <c r="H128">
        <v>127</v>
      </c>
    </row>
    <row r="129" spans="1:8" x14ac:dyDescent="0.25">
      <c r="A129" s="7" t="s">
        <v>235</v>
      </c>
      <c r="D129" s="7" t="s">
        <v>224</v>
      </c>
      <c r="E129" t="s">
        <v>244</v>
      </c>
      <c r="F129">
        <f>B99</f>
        <v>0</v>
      </c>
      <c r="H129">
        <v>128</v>
      </c>
    </row>
    <row r="130" spans="1:8" x14ac:dyDescent="0.25">
      <c r="A130" s="7" t="s">
        <v>285</v>
      </c>
      <c r="D130" s="7" t="s">
        <v>225</v>
      </c>
      <c r="E130" t="s">
        <v>244</v>
      </c>
      <c r="F130">
        <f>B100</f>
        <v>0</v>
      </c>
      <c r="H130">
        <v>129</v>
      </c>
    </row>
    <row r="131" spans="1:8" x14ac:dyDescent="0.25">
      <c r="A131" s="7" t="s">
        <v>286</v>
      </c>
      <c r="D131" s="7" t="s">
        <v>226</v>
      </c>
      <c r="E131" t="s">
        <v>244</v>
      </c>
      <c r="F131">
        <f>B101</f>
        <v>0</v>
      </c>
      <c r="H131">
        <v>130</v>
      </c>
    </row>
    <row r="132" spans="1:8" x14ac:dyDescent="0.25">
      <c r="A132" s="7" t="s">
        <v>284</v>
      </c>
      <c r="D132" s="7" t="s">
        <v>227</v>
      </c>
      <c r="E132" t="s">
        <v>244</v>
      </c>
      <c r="F132">
        <f>B102</f>
        <v>0</v>
      </c>
      <c r="H132">
        <v>131</v>
      </c>
    </row>
    <row r="133" spans="1:8" x14ac:dyDescent="0.25">
      <c r="A133" s="7" t="s">
        <v>98</v>
      </c>
      <c r="D133" s="7" t="s">
        <v>228</v>
      </c>
      <c r="E133" t="s">
        <v>244</v>
      </c>
      <c r="F133">
        <f>B103</f>
        <v>0</v>
      </c>
      <c r="H133">
        <v>132</v>
      </c>
    </row>
    <row r="134" spans="1:8" x14ac:dyDescent="0.25">
      <c r="A134" s="7" t="s">
        <v>99</v>
      </c>
      <c r="D134" s="7" t="s">
        <v>229</v>
      </c>
      <c r="E134" t="s">
        <v>244</v>
      </c>
      <c r="F134">
        <f>B104</f>
        <v>0</v>
      </c>
      <c r="H134">
        <v>133</v>
      </c>
    </row>
    <row r="135" spans="1:8" x14ac:dyDescent="0.25">
      <c r="A135" s="7" t="s">
        <v>100</v>
      </c>
      <c r="D135" s="7" t="s">
        <v>55</v>
      </c>
      <c r="E135" t="s">
        <v>244</v>
      </c>
      <c r="F135">
        <f>B33</f>
        <v>0</v>
      </c>
      <c r="H135">
        <v>134</v>
      </c>
    </row>
    <row r="136" spans="1:8" x14ac:dyDescent="0.25">
      <c r="A136" s="7" t="s">
        <v>101</v>
      </c>
      <c r="D136" s="7" t="s">
        <v>230</v>
      </c>
      <c r="E136" t="s">
        <v>244</v>
      </c>
      <c r="F136">
        <f>B87</f>
        <v>0</v>
      </c>
      <c r="H136">
        <v>135</v>
      </c>
    </row>
    <row r="137" spans="1:8" x14ac:dyDescent="0.25">
      <c r="A137" s="7" t="s">
        <v>102</v>
      </c>
      <c r="D137" s="7" t="s">
        <v>231</v>
      </c>
      <c r="E137" t="s">
        <v>244</v>
      </c>
      <c r="F137">
        <f>B90</f>
        <v>0</v>
      </c>
      <c r="H137">
        <v>136</v>
      </c>
    </row>
    <row r="138" spans="1:8" x14ac:dyDescent="0.25">
      <c r="A138" s="7" t="s">
        <v>103</v>
      </c>
      <c r="D138" s="7" t="s">
        <v>232</v>
      </c>
      <c r="E138" t="s">
        <v>244</v>
      </c>
      <c r="F138">
        <f>B89</f>
        <v>0</v>
      </c>
      <c r="H138">
        <v>137</v>
      </c>
    </row>
    <row r="139" spans="1:8" x14ac:dyDescent="0.25">
      <c r="A139" s="7" t="s">
        <v>104</v>
      </c>
      <c r="D139" s="7" t="s">
        <v>233</v>
      </c>
      <c r="E139" t="s">
        <v>244</v>
      </c>
      <c r="F139">
        <f>B93</f>
        <v>0</v>
      </c>
      <c r="H139">
        <v>138</v>
      </c>
    </row>
    <row r="140" spans="1:8" x14ac:dyDescent="0.25">
      <c r="A140" s="7" t="s">
        <v>105</v>
      </c>
      <c r="D140" s="7" t="s">
        <v>327</v>
      </c>
      <c r="E140" t="s">
        <v>244</v>
      </c>
      <c r="F140">
        <f>B96</f>
        <v>0</v>
      </c>
      <c r="H140">
        <v>139</v>
      </c>
    </row>
    <row r="141" spans="1:8" x14ac:dyDescent="0.25">
      <c r="A141" s="7" t="s">
        <v>206</v>
      </c>
      <c r="D141" s="7" t="s">
        <v>234</v>
      </c>
      <c r="E141" t="s">
        <v>244</v>
      </c>
      <c r="F141">
        <f>B94</f>
        <v>0</v>
      </c>
      <c r="H141">
        <v>140</v>
      </c>
    </row>
    <row r="142" spans="1:8" x14ac:dyDescent="0.25">
      <c r="A142" s="7" t="s">
        <v>202</v>
      </c>
      <c r="D142" s="7" t="s">
        <v>235</v>
      </c>
      <c r="E142" t="s">
        <v>244</v>
      </c>
      <c r="F142">
        <f>B129</f>
        <v>0</v>
      </c>
      <c r="H142">
        <v>141</v>
      </c>
    </row>
    <row r="143" spans="1:8" x14ac:dyDescent="0.25">
      <c r="A143" s="7" t="s">
        <v>203</v>
      </c>
      <c r="D143" s="7" t="s">
        <v>236</v>
      </c>
      <c r="E143" t="s">
        <v>244</v>
      </c>
      <c r="F143">
        <f>B147</f>
        <v>0</v>
      </c>
      <c r="H143">
        <v>142</v>
      </c>
    </row>
    <row r="144" spans="1:8" x14ac:dyDescent="0.25">
      <c r="A144" s="7" t="s">
        <v>204</v>
      </c>
      <c r="D144" s="7" t="s">
        <v>237</v>
      </c>
      <c r="E144" t="s">
        <v>244</v>
      </c>
      <c r="F144">
        <f>B91</f>
        <v>0</v>
      </c>
      <c r="H144">
        <v>143</v>
      </c>
    </row>
    <row r="145" spans="1:8" x14ac:dyDescent="0.25">
      <c r="A145" s="7" t="s">
        <v>205</v>
      </c>
      <c r="D145" s="7" t="s">
        <v>238</v>
      </c>
      <c r="E145" t="s">
        <v>244</v>
      </c>
      <c r="F145">
        <f>B105</f>
        <v>0</v>
      </c>
      <c r="H145">
        <v>144</v>
      </c>
    </row>
    <row r="146" spans="1:8" x14ac:dyDescent="0.25">
      <c r="A146" s="7" t="s">
        <v>195</v>
      </c>
      <c r="D146" s="7" t="s">
        <v>245</v>
      </c>
      <c r="E146" t="s">
        <v>247</v>
      </c>
      <c r="F146">
        <f>B5</f>
        <v>0</v>
      </c>
      <c r="H146">
        <v>145</v>
      </c>
    </row>
    <row r="147" spans="1:8" x14ac:dyDescent="0.25">
      <c r="A147" s="7" t="s">
        <v>236</v>
      </c>
      <c r="D147" s="7" t="s">
        <v>56</v>
      </c>
      <c r="E147" t="s">
        <v>247</v>
      </c>
      <c r="F147">
        <f>B36</f>
        <v>0</v>
      </c>
      <c r="H147">
        <v>146</v>
      </c>
    </row>
    <row r="148" spans="1:8" x14ac:dyDescent="0.25">
      <c r="A148" s="7" t="s">
        <v>210</v>
      </c>
      <c r="D148" s="7" t="s">
        <v>246</v>
      </c>
      <c r="E148" t="s">
        <v>247</v>
      </c>
      <c r="F148">
        <f>B3</f>
        <v>0</v>
      </c>
      <c r="H148">
        <v>147</v>
      </c>
    </row>
    <row r="149" spans="1:8" x14ac:dyDescent="0.25">
      <c r="A149" s="7" t="s">
        <v>282</v>
      </c>
      <c r="C149" s="8" t="s">
        <v>277</v>
      </c>
      <c r="D149" s="7" t="s">
        <v>258</v>
      </c>
      <c r="E149" t="s">
        <v>257</v>
      </c>
      <c r="F149">
        <f>B51</f>
        <v>0</v>
      </c>
      <c r="H149">
        <v>148</v>
      </c>
    </row>
    <row r="150" spans="1:8" x14ac:dyDescent="0.25">
      <c r="D150" s="7" t="s">
        <v>262</v>
      </c>
      <c r="E150" t="s">
        <v>261</v>
      </c>
      <c r="F150">
        <f>B38</f>
        <v>0</v>
      </c>
      <c r="H150">
        <v>149</v>
      </c>
    </row>
    <row r="151" spans="1:8" x14ac:dyDescent="0.25">
      <c r="D151" s="7" t="s">
        <v>263</v>
      </c>
      <c r="E151" t="s">
        <v>261</v>
      </c>
      <c r="F151">
        <f>B39</f>
        <v>0</v>
      </c>
      <c r="H151">
        <v>150</v>
      </c>
    </row>
    <row r="152" spans="1:8" x14ac:dyDescent="0.25">
      <c r="D152" s="7" t="s">
        <v>264</v>
      </c>
      <c r="E152" t="s">
        <v>261</v>
      </c>
      <c r="F152">
        <f>B40</f>
        <v>0</v>
      </c>
      <c r="H152">
        <v>151</v>
      </c>
    </row>
    <row r="153" spans="1:8" x14ac:dyDescent="0.25">
      <c r="D153" s="7" t="s">
        <v>265</v>
      </c>
      <c r="E153" t="s">
        <v>261</v>
      </c>
      <c r="F153">
        <f>B41</f>
        <v>0</v>
      </c>
      <c r="H153">
        <v>152</v>
      </c>
    </row>
    <row r="154" spans="1:8" x14ac:dyDescent="0.25">
      <c r="D154" s="7" t="s">
        <v>266</v>
      </c>
      <c r="E154" t="s">
        <v>261</v>
      </c>
      <c r="F154">
        <f>B42</f>
        <v>0</v>
      </c>
      <c r="H154">
        <v>153</v>
      </c>
    </row>
    <row r="155" spans="1:8" x14ac:dyDescent="0.25">
      <c r="D155" s="7" t="s">
        <v>267</v>
      </c>
      <c r="E155" t="s">
        <v>261</v>
      </c>
      <c r="F155">
        <f>B43</f>
        <v>0</v>
      </c>
      <c r="H155">
        <v>154</v>
      </c>
    </row>
    <row r="156" spans="1:8" x14ac:dyDescent="0.25">
      <c r="D156" s="7" t="s">
        <v>268</v>
      </c>
      <c r="E156" t="s">
        <v>261</v>
      </c>
      <c r="F156">
        <f>B44</f>
        <v>0</v>
      </c>
      <c r="H156">
        <v>155</v>
      </c>
    </row>
    <row r="157" spans="1:8" x14ac:dyDescent="0.25">
      <c r="D157" s="7" t="s">
        <v>269</v>
      </c>
      <c r="E157" t="s">
        <v>261</v>
      </c>
      <c r="F157">
        <f>B37</f>
        <v>0</v>
      </c>
      <c r="H157">
        <v>156</v>
      </c>
    </row>
    <row r="158" spans="1:8" x14ac:dyDescent="0.25">
      <c r="D158" s="7" t="s">
        <v>270</v>
      </c>
      <c r="E158" t="s">
        <v>261</v>
      </c>
      <c r="F158">
        <f>B125</f>
        <v>0</v>
      </c>
      <c r="H158">
        <v>157</v>
      </c>
    </row>
    <row r="159" spans="1:8" x14ac:dyDescent="0.25">
      <c r="D159" s="7" t="s">
        <v>271</v>
      </c>
      <c r="E159" t="s">
        <v>261</v>
      </c>
      <c r="F159">
        <f>B49</f>
        <v>0</v>
      </c>
      <c r="H159">
        <v>158</v>
      </c>
    </row>
    <row r="160" spans="1:8" x14ac:dyDescent="0.25">
      <c r="D160" s="7" t="s">
        <v>278</v>
      </c>
      <c r="E160" t="s">
        <v>299</v>
      </c>
      <c r="F160">
        <f>B126</f>
        <v>0</v>
      </c>
      <c r="G160" t="s">
        <v>280</v>
      </c>
      <c r="H160">
        <v>159</v>
      </c>
    </row>
    <row r="161" spans="4:8" x14ac:dyDescent="0.25">
      <c r="D161" s="7" t="s">
        <v>279</v>
      </c>
      <c r="E161" t="s">
        <v>299</v>
      </c>
      <c r="F161">
        <f>B127</f>
        <v>0</v>
      </c>
      <c r="G161" t="s">
        <v>281</v>
      </c>
      <c r="H161">
        <v>160</v>
      </c>
    </row>
    <row r="162" spans="4:8" x14ac:dyDescent="0.25">
      <c r="D162" s="7" t="s">
        <v>282</v>
      </c>
      <c r="E162" t="s">
        <v>299</v>
      </c>
      <c r="F162">
        <f>B149</f>
        <v>0</v>
      </c>
      <c r="G162" s="8" t="s">
        <v>277</v>
      </c>
      <c r="H162">
        <v>161</v>
      </c>
    </row>
    <row r="163" spans="4:8" x14ac:dyDescent="0.25">
      <c r="D163" s="7" t="s">
        <v>283</v>
      </c>
      <c r="E163" t="s">
        <v>299</v>
      </c>
      <c r="F163">
        <f>B128</f>
        <v>0</v>
      </c>
      <c r="H163">
        <v>162</v>
      </c>
    </row>
    <row r="164" spans="4:8" x14ac:dyDescent="0.25">
      <c r="D164" s="7" t="s">
        <v>284</v>
      </c>
      <c r="E164" t="s">
        <v>299</v>
      </c>
      <c r="F164">
        <f>B132</f>
        <v>0</v>
      </c>
      <c r="H164">
        <v>163</v>
      </c>
    </row>
    <row r="165" spans="4:8" x14ac:dyDescent="0.25">
      <c r="D165" s="7" t="s">
        <v>285</v>
      </c>
      <c r="E165" t="s">
        <v>299</v>
      </c>
      <c r="F165">
        <f>B130</f>
        <v>0</v>
      </c>
      <c r="H165">
        <v>164</v>
      </c>
    </row>
    <row r="166" spans="4:8" x14ac:dyDescent="0.25">
      <c r="D166" s="7" t="s">
        <v>286</v>
      </c>
      <c r="E166" t="s">
        <v>299</v>
      </c>
      <c r="F166">
        <f>B131</f>
        <v>0</v>
      </c>
      <c r="H166">
        <v>165</v>
      </c>
    </row>
    <row r="167" spans="4:8" x14ac:dyDescent="0.25">
      <c r="D167" s="7" t="s">
        <v>293</v>
      </c>
      <c r="E167" t="s">
        <v>300</v>
      </c>
      <c r="F167">
        <f>B84</f>
        <v>0</v>
      </c>
      <c r="H167">
        <v>166</v>
      </c>
    </row>
    <row r="168" spans="4:8" x14ac:dyDescent="0.25">
      <c r="D168" s="7" t="s">
        <v>294</v>
      </c>
      <c r="E168" t="s">
        <v>300</v>
      </c>
      <c r="F168">
        <f>B92</f>
        <v>0</v>
      </c>
      <c r="H168">
        <v>167</v>
      </c>
    </row>
    <row r="169" spans="4:8" x14ac:dyDescent="0.25">
      <c r="D169" s="7" t="s">
        <v>295</v>
      </c>
      <c r="E169" t="s">
        <v>300</v>
      </c>
      <c r="F169">
        <f>B97</f>
        <v>0</v>
      </c>
      <c r="H169">
        <v>168</v>
      </c>
    </row>
    <row r="170" spans="4:8" x14ac:dyDescent="0.25">
      <c r="D170" s="7" t="s">
        <v>296</v>
      </c>
      <c r="E170" t="s">
        <v>300</v>
      </c>
      <c r="F170">
        <f>B88</f>
        <v>0</v>
      </c>
      <c r="H170">
        <v>169</v>
      </c>
    </row>
    <row r="171" spans="4:8" x14ac:dyDescent="0.25">
      <c r="D171" s="7" t="s">
        <v>297</v>
      </c>
      <c r="E171" t="s">
        <v>300</v>
      </c>
      <c r="F171">
        <f>B95</f>
        <v>0</v>
      </c>
      <c r="H171">
        <v>170</v>
      </c>
    </row>
    <row r="172" spans="4:8" x14ac:dyDescent="0.25">
      <c r="D172" s="7" t="s">
        <v>46</v>
      </c>
      <c r="E172" t="s">
        <v>300</v>
      </c>
      <c r="F172">
        <f>B107</f>
        <v>0</v>
      </c>
      <c r="H172">
        <v>171</v>
      </c>
    </row>
    <row r="173" spans="4:8" x14ac:dyDescent="0.25">
      <c r="D173" s="7" t="s">
        <v>298</v>
      </c>
      <c r="E173" t="s">
        <v>300</v>
      </c>
      <c r="F173">
        <f>B50</f>
        <v>0</v>
      </c>
      <c r="H173">
        <v>172</v>
      </c>
    </row>
    <row r="174" spans="4:8" x14ac:dyDescent="0.25">
      <c r="D174" s="7" t="s">
        <v>55</v>
      </c>
      <c r="E174" t="s">
        <v>303</v>
      </c>
      <c r="F174">
        <f>B33</f>
        <v>0</v>
      </c>
      <c r="H174">
        <v>173</v>
      </c>
    </row>
    <row r="175" spans="4:8" x14ac:dyDescent="0.25">
      <c r="D175" s="7" t="s">
        <v>306</v>
      </c>
      <c r="E175" t="s">
        <v>303</v>
      </c>
      <c r="F175">
        <f>B34</f>
        <v>0</v>
      </c>
      <c r="H175">
        <v>174</v>
      </c>
    </row>
    <row r="176" spans="4:8" x14ac:dyDescent="0.25">
      <c r="D176" s="7" t="s">
        <v>47</v>
      </c>
      <c r="E176" t="s">
        <v>72</v>
      </c>
      <c r="F176">
        <f>B108</f>
        <v>0</v>
      </c>
      <c r="H176">
        <v>175</v>
      </c>
    </row>
    <row r="177" spans="4:8" x14ac:dyDescent="0.25">
      <c r="D177" s="7" t="s">
        <v>316</v>
      </c>
      <c r="E177" t="s">
        <v>314</v>
      </c>
      <c r="F177">
        <f>B106</f>
        <v>0</v>
      </c>
      <c r="H177">
        <v>176</v>
      </c>
    </row>
  </sheetData>
  <sortState xmlns:xlrd2="http://schemas.microsoft.com/office/spreadsheetml/2017/richdata2" ref="A2:A151">
    <sortCondition ref="A1"/>
  </sortState>
  <hyperlinks>
    <hyperlink ref="G162" r:id="rId1" xr:uid="{5164E146-F479-4E35-928C-64B5CCD54725}"/>
    <hyperlink ref="C149" r:id="rId2" xr:uid="{9A30C647-5E5D-4BE0-8DAF-BE532487BC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60A9-DDA5-4E23-B1F0-7188DBFD5989}">
  <dimension ref="A1:D20"/>
  <sheetViews>
    <sheetView workbookViewId="0">
      <selection activeCell="C10" sqref="C10"/>
    </sheetView>
  </sheetViews>
  <sheetFormatPr defaultRowHeight="15" x14ac:dyDescent="0.25"/>
  <cols>
    <col min="1" max="1" width="6.28515625" customWidth="1"/>
    <col min="2" max="2" width="38.140625" customWidth="1"/>
    <col min="3" max="3" width="91.7109375" customWidth="1"/>
  </cols>
  <sheetData>
    <row r="1" spans="1:4" x14ac:dyDescent="0.25">
      <c r="A1" s="10" t="s">
        <v>325</v>
      </c>
      <c r="B1" s="10" t="s">
        <v>147</v>
      </c>
      <c r="C1" s="10" t="s">
        <v>326</v>
      </c>
      <c r="D1" s="1"/>
    </row>
    <row r="2" spans="1:4" x14ac:dyDescent="0.25">
      <c r="A2">
        <v>1</v>
      </c>
      <c r="B2" t="s">
        <v>97</v>
      </c>
      <c r="C2" t="str">
        <f>IF(Logic!I25="Yes","Triggered due to high risk of harm to others",IF(Logic!J25="Yes","Triggered due to moderate risk of harm to others",IF(Logic!K25="Yes","Not triggered",0)))</f>
        <v>Not triggered</v>
      </c>
      <c r="D2" s="1"/>
    </row>
    <row r="3" spans="1:4" x14ac:dyDescent="0.25">
      <c r="A3">
        <v>2</v>
      </c>
      <c r="B3" t="s">
        <v>151</v>
      </c>
      <c r="C3" t="str">
        <f>IF(Logic!I39="Yes","Triggered due to high risk of harm to self",IF(Logic!J39="Yes","Triggered due to moderate risk of harm to self",IF(Logic!K39="Yes","Not triggered",0)))</f>
        <v>Not triggered</v>
      </c>
      <c r="D3" s="1"/>
    </row>
    <row r="4" spans="1:4" x14ac:dyDescent="0.25">
      <c r="A4">
        <v>3</v>
      </c>
      <c r="B4" t="s">
        <v>152</v>
      </c>
      <c r="C4" t="str">
        <f>IF(Logic!M29="Yes","Triggered due to high risk for inability to care for self",IF(Logic!N29 ="Yes","Triggered due to moderate risk for inability to care for self",IF(Logic!O29="Yes","Not triggered",0)))</f>
        <v>Not triggered</v>
      </c>
      <c r="D4" s="1"/>
    </row>
    <row r="5" spans="1:4" x14ac:dyDescent="0.25">
      <c r="A5">
        <v>4</v>
      </c>
      <c r="B5" t="s">
        <v>153</v>
      </c>
      <c r="C5" t="str">
        <f>IF(Logic!N45="Yes","Triggered to reduce social isolation and family dysfunction",IF(Logic!O45 ="Yes","Triggered to improve close friendships and family functioning",IF(Logic!P45="Yes","Not triggered",0)))</f>
        <v>Triggered to reduce social isolation and family dysfunction</v>
      </c>
      <c r="D5" s="1"/>
    </row>
    <row r="6" spans="1:4" x14ac:dyDescent="0.25">
      <c r="A6">
        <v>5</v>
      </c>
      <c r="B6" t="s">
        <v>161</v>
      </c>
      <c r="C6" t="s">
        <v>162</v>
      </c>
      <c r="D6" s="1"/>
    </row>
    <row r="7" spans="1:4" x14ac:dyDescent="0.25">
      <c r="A7">
        <v>7</v>
      </c>
      <c r="B7" t="s">
        <v>163</v>
      </c>
      <c r="C7" t="str">
        <f>IF(Logic!N49="Yes","Triggered to reduce widespread conflict",IF(Logic!O49 ="Yes","Triggered to reduce conflict within specific relationships",IF(Logic!P49="Yes","Not triggered",0)))</f>
        <v>Not triggered</v>
      </c>
      <c r="D7" s="1"/>
    </row>
    <row r="8" spans="1:4" x14ac:dyDescent="0.25">
      <c r="A8">
        <v>8</v>
      </c>
      <c r="B8" t="s">
        <v>166</v>
      </c>
      <c r="C8" t="str">
        <f>IF(Logic!N51="Yes","Triggered to address immediate safety concerns",IF(Logic!O51 ="Yes","Triggered to reduce the impact of prior traumatic life events",IF(Logic!P51="Yes","Not triggered",0)))</f>
        <v>Not triggered</v>
      </c>
      <c r="D8" s="1"/>
    </row>
    <row r="9" spans="1:4" x14ac:dyDescent="0.25">
      <c r="A9">
        <v>9</v>
      </c>
      <c r="B9" t="s">
        <v>185</v>
      </c>
      <c r="C9" t="str">
        <f>IF(Logic!O55="Yes","Triggered to reduce risk of violent or nonviolent criminal behavior",IF(Logic!P55="Yes","Not triggered",0))</f>
        <v>Not triggered</v>
      </c>
    </row>
    <row r="10" spans="1:4" x14ac:dyDescent="0.25">
      <c r="A10">
        <v>10</v>
      </c>
      <c r="B10" t="s">
        <v>199</v>
      </c>
      <c r="C10" t="str">
        <f>IF(Logic!N57="Yes","Triggered due to economic hardship",IF(Logic!O57 ="Yes","Triggered due to inability to manage finances",IF(Logic!P57="Yes","Not triggered",0)))</f>
        <v>Triggered due to inability to manage finances</v>
      </c>
    </row>
    <row r="11" spans="1:4" x14ac:dyDescent="0.25">
      <c r="A11">
        <v>11</v>
      </c>
      <c r="B11" t="s">
        <v>200</v>
      </c>
      <c r="C11" t="str">
        <f>IF(Logic!P59="Yes","Triggered to reduce risk of unemployment or dropping out of school",IF(Logic!Q59 ="Yes","Triggered to support employment or educational participation",IF(Logic!R59="Yes","Not triggered",0)))</f>
        <v>Not triggered</v>
      </c>
    </row>
    <row r="12" spans="1:4" x14ac:dyDescent="0.25">
      <c r="A12">
        <v>13</v>
      </c>
      <c r="B12" t="s">
        <v>218</v>
      </c>
      <c r="C12" t="str">
        <f>IF(Logic!N65="Yes","Triggered to reduce risk of unemployment or dropping out of school",IF(Logic!O65 ="Yes","Triggered to support employment or educational participation",IF(Logic!P65="Yes","Not triggered",0)))</f>
        <v>Not triggered</v>
      </c>
    </row>
    <row r="13" spans="1:4" x14ac:dyDescent="0.25">
      <c r="A13">
        <v>14</v>
      </c>
      <c r="B13" t="s">
        <v>243</v>
      </c>
      <c r="C13" t="str">
        <f>IF(Logic!N67="Yes","Triggered due to high risk of rehospitalization",IF(Logic!O67 ="Yes","Triggered due to moderate risk of rehospitalization",IF(Logic!P67="Yes","Not triggered",0)))</f>
        <v>Not triggered</v>
      </c>
    </row>
    <row r="14" spans="1:4" x14ac:dyDescent="0.25">
      <c r="A14">
        <v>15</v>
      </c>
      <c r="B14" t="s">
        <v>250</v>
      </c>
      <c r="C14" t="str">
        <f>IF(Logic!N70="Yes","Triggered to manage withdrawal symptoms",IF(Logic!O70 ="Yes","Triggered to encourage smoking cessation or reduction",IF(Logic!P70="Yes","Not triggered",0)))</f>
        <v>Not triggered</v>
      </c>
    </row>
    <row r="15" spans="1:4" x14ac:dyDescent="0.25">
      <c r="A15">
        <v>16</v>
      </c>
      <c r="B15" t="s">
        <v>251</v>
      </c>
      <c r="C15" t="str">
        <f>IF(Logic!O72="Yes","Triggered due to current problematic substance use",IF(Logic!P72 ="Yes","Triggered due to prior history of problematic substance use",IF(Logic!Q72="Yes","Not triggered",0)))</f>
        <v>Triggered due to prior history of problematic substance use</v>
      </c>
    </row>
    <row r="16" spans="1:4" x14ac:dyDescent="0.25">
      <c r="A16">
        <v>17</v>
      </c>
      <c r="B16" t="s">
        <v>252</v>
      </c>
      <c r="C16" t="str">
        <f>IF(Logic!N75="Yes","Triggered for body composition",IF(Logic!O75 ="Yes","Triggered for problematic eating behaviors",IF(Logic!P75="Yes","Not triggered",0)))</f>
        <v>Triggered for body composition</v>
      </c>
    </row>
    <row r="17" spans="1:3" x14ac:dyDescent="0.25">
      <c r="A17">
        <v>18</v>
      </c>
      <c r="B17" t="s">
        <v>253</v>
      </c>
      <c r="C17" t="str">
        <f>IF(Logic!N80="Yes","Triggered to increase physical activity/capable of being active",IF(Logic!O80 ="Yes","Triggered to increase physical activity/additional consideration due to health condition",IF(Logic!P80="Yes","Not triggered",0)))</f>
        <v>Triggered to increase physical activity/capable of being active</v>
      </c>
    </row>
    <row r="18" spans="1:3" x14ac:dyDescent="0.25">
      <c r="A18">
        <v>19</v>
      </c>
      <c r="B18" t="s">
        <v>254</v>
      </c>
      <c r="C18" t="str">
        <f>IF(Logic!N82="Yes","Triggered due to current sleep disturbance and severe cognitive impairment",IF(Logic!O82 ="Yes","Triggered due to current sleep disturbance and no worse than moderate cognitive impairment",IF(Logic!P82="Yes","Not triggered",0)))</f>
        <v>Not triggered</v>
      </c>
    </row>
    <row r="19" spans="1:3" x14ac:dyDescent="0.25">
      <c r="A19">
        <v>20</v>
      </c>
      <c r="B19" t="s">
        <v>255</v>
      </c>
      <c r="C19" t="str">
        <f>IF(Logic!N85="Yes","Triggered at high priority level",IF(Logic!O85 ="Yes","Triggered at medium priority level",IF(Logic!P85="Yes","Not triggered",0)))</f>
        <v>Not triggered</v>
      </c>
    </row>
    <row r="20" spans="1:3" x14ac:dyDescent="0.25">
      <c r="A20">
        <v>21</v>
      </c>
      <c r="B20" t="s">
        <v>256</v>
      </c>
      <c r="C20" t="str">
        <f>IF(Logic!N88="Yes","Triggered due to high risk of future falls",IF(Logic!O88 ="Yes","Triggered due to medium risk of future falls",IF(Logic!P88="Yes","Not triggered",0)))</f>
        <v>Not triggered</v>
      </c>
    </row>
  </sheetData>
  <sheetProtection password="BD4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7E27-472A-4F75-95F2-BBFAECC115CD}">
  <dimension ref="A1:AD89"/>
  <sheetViews>
    <sheetView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22.28515625" customWidth="1"/>
    <col min="14" max="14" width="12.42578125" customWidth="1"/>
    <col min="15" max="15" width="13" customWidth="1"/>
    <col min="16" max="16" width="13.42578125" customWidth="1"/>
    <col min="17" max="17" width="13.140625" customWidth="1"/>
    <col min="18" max="18" width="11.5703125" customWidth="1"/>
  </cols>
  <sheetData>
    <row r="1" spans="1:15" x14ac:dyDescent="0.25">
      <c r="A1" t="s">
        <v>61</v>
      </c>
      <c r="B1" t="s">
        <v>1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86</v>
      </c>
      <c r="M1" t="s">
        <v>87</v>
      </c>
      <c r="N1" t="s">
        <v>88</v>
      </c>
      <c r="O1" t="s">
        <v>89</v>
      </c>
    </row>
    <row r="2" spans="1:15" x14ac:dyDescent="0.25">
      <c r="A2" t="s">
        <v>62</v>
      </c>
      <c r="B2">
        <f>SUM(C2:O2)</f>
        <v>0</v>
      </c>
      <c r="C2">
        <f>+'Record Scores'!F3</f>
        <v>0</v>
      </c>
      <c r="D2">
        <f>+'Record Scores'!F4</f>
        <v>0</v>
      </c>
      <c r="E2">
        <f>+'Record Scores'!F2</f>
        <v>0</v>
      </c>
      <c r="F2">
        <f>+'Record Scores'!F5</f>
        <v>0</v>
      </c>
    </row>
    <row r="3" spans="1:15" x14ac:dyDescent="0.25">
      <c r="A3" t="s">
        <v>90</v>
      </c>
      <c r="B3">
        <f>MAX(C3:F3)</f>
        <v>0</v>
      </c>
      <c r="C3">
        <f>'Record Scores'!F6</f>
        <v>0</v>
      </c>
      <c r="D3">
        <f>'Record Scores'!F7</f>
        <v>0</v>
      </c>
      <c r="E3">
        <f>'Record Scores'!F8</f>
        <v>0</v>
      </c>
      <c r="F3">
        <f>'Record Scores'!F9</f>
        <v>0</v>
      </c>
    </row>
    <row r="4" spans="1:15" x14ac:dyDescent="0.25">
      <c r="A4" t="s">
        <v>64</v>
      </c>
      <c r="B4">
        <f>SUM(C4:O4)</f>
        <v>0</v>
      </c>
      <c r="C4">
        <f>+'Record Scores'!F10</f>
        <v>0</v>
      </c>
      <c r="D4">
        <f>+'Record Scores'!F11</f>
        <v>0</v>
      </c>
      <c r="E4">
        <f>+'Record Scores'!F12</f>
        <v>0</v>
      </c>
      <c r="F4">
        <f>+'Record Scores'!F13</f>
        <v>0</v>
      </c>
    </row>
    <row r="5" spans="1:15" x14ac:dyDescent="0.25">
      <c r="A5" t="s">
        <v>65</v>
      </c>
      <c r="B5">
        <f>SUM(C5:O5)</f>
        <v>0</v>
      </c>
      <c r="C5">
        <f>+'Record Scores'!F14</f>
        <v>0</v>
      </c>
      <c r="D5">
        <f>+'Record Scores'!F15</f>
        <v>0</v>
      </c>
      <c r="E5">
        <f>+'Record Scores'!F16</f>
        <v>0</v>
      </c>
      <c r="F5">
        <f>+'Record Scores'!F17</f>
        <v>0</v>
      </c>
    </row>
    <row r="6" spans="1:15" x14ac:dyDescent="0.25">
      <c r="A6" t="s">
        <v>66</v>
      </c>
      <c r="B6">
        <f>MAX(B7:B10)</f>
        <v>0</v>
      </c>
      <c r="C6">
        <f>'Record Scores'!F18</f>
        <v>0</v>
      </c>
      <c r="D6">
        <f>'Record Scores'!F19</f>
        <v>0</v>
      </c>
      <c r="E6">
        <f>'Record Scores'!F20</f>
        <v>0</v>
      </c>
      <c r="F6">
        <f>'Record Scores'!F22</f>
        <v>0</v>
      </c>
    </row>
    <row r="7" spans="1:15" x14ac:dyDescent="0.25">
      <c r="A7" s="4" t="s">
        <v>133</v>
      </c>
      <c r="B7">
        <f>IF(C6=0,0,IF(C6=1,1,0))</f>
        <v>0</v>
      </c>
      <c r="E7">
        <f>SUM(D6:E6)</f>
        <v>0</v>
      </c>
    </row>
    <row r="8" spans="1:15" x14ac:dyDescent="0.25">
      <c r="A8" s="5" t="s">
        <v>134</v>
      </c>
      <c r="B8">
        <f>IF(C6&lt;&gt;2,0,IF(C6=2,IF(E7=0,2,IF(E7=1,3,IF(E7=2,4,0)))))</f>
        <v>0</v>
      </c>
    </row>
    <row r="9" spans="1:15" x14ac:dyDescent="0.25">
      <c r="A9" s="5" t="s">
        <v>135</v>
      </c>
      <c r="B9">
        <f>IF(C6&lt;&gt;3,0,IF(C6=3,IF(E7=0,2,IF(E7=1,3,IF(E7=2,4,0)))))</f>
        <v>0</v>
      </c>
    </row>
    <row r="10" spans="1:15" x14ac:dyDescent="0.25">
      <c r="A10" s="5" t="s">
        <v>136</v>
      </c>
      <c r="B10">
        <f>IF(C6&lt;4,0,IF(C6&gt;3,IF(F6&lt;6,5,6)))</f>
        <v>0</v>
      </c>
    </row>
    <row r="11" spans="1:15" x14ac:dyDescent="0.25">
      <c r="A11" t="s">
        <v>67</v>
      </c>
      <c r="B11">
        <f>SUM(C11:D11)</f>
        <v>0</v>
      </c>
      <c r="C11">
        <f>+'Record Scores'!F23</f>
        <v>0</v>
      </c>
      <c r="D11">
        <f>'Record Scores'!F24</f>
        <v>0</v>
      </c>
    </row>
    <row r="12" spans="1:15" x14ac:dyDescent="0.25">
      <c r="A12" t="s">
        <v>68</v>
      </c>
      <c r="B12">
        <f t="shared" ref="B12:B17" si="0">SUM(C12:O12)</f>
        <v>0</v>
      </c>
      <c r="C12">
        <f>+'Record Scores'!F25</f>
        <v>0</v>
      </c>
      <c r="D12">
        <f>+'Record Scores'!F26</f>
        <v>0</v>
      </c>
      <c r="E12">
        <f>+'Record Scores'!F27</f>
        <v>0</v>
      </c>
      <c r="F12">
        <f>+'Record Scores'!F28</f>
        <v>0</v>
      </c>
      <c r="G12">
        <f>+'Record Scores'!F29</f>
        <v>0</v>
      </c>
      <c r="H12">
        <f>+'Record Scores'!F30</f>
        <v>0</v>
      </c>
      <c r="I12">
        <f>'Record Scores'!F31</f>
        <v>0</v>
      </c>
    </row>
    <row r="13" spans="1:15" x14ac:dyDescent="0.25">
      <c r="A13" t="s">
        <v>69</v>
      </c>
      <c r="B13">
        <f t="shared" si="0"/>
        <v>0</v>
      </c>
      <c r="C13">
        <f>+'Record Scores'!F32</f>
        <v>0</v>
      </c>
      <c r="D13">
        <f>+'Record Scores'!F33</f>
        <v>0</v>
      </c>
      <c r="E13">
        <f>+'Record Scores'!F34</f>
        <v>0</v>
      </c>
      <c r="F13">
        <f>+'Record Scores'!F35</f>
        <v>0</v>
      </c>
      <c r="G13">
        <f>+'Record Scores'!F36</f>
        <v>0</v>
      </c>
    </row>
    <row r="14" spans="1:15" x14ac:dyDescent="0.25">
      <c r="A14" t="s">
        <v>94</v>
      </c>
      <c r="B14">
        <f t="shared" si="0"/>
        <v>0</v>
      </c>
      <c r="C14">
        <f>+'Record Scores'!F37</f>
        <v>0</v>
      </c>
      <c r="D14">
        <f>'Record Scores'!F38</f>
        <v>0</v>
      </c>
      <c r="E14">
        <f>'Record Scores'!F39</f>
        <v>0</v>
      </c>
      <c r="F14">
        <f>'Record Scores'!F40</f>
        <v>0</v>
      </c>
      <c r="G14">
        <f>'Record Scores'!F41</f>
        <v>0</v>
      </c>
      <c r="H14">
        <f>'Record Scores'!F42</f>
        <v>0</v>
      </c>
      <c r="I14">
        <f>'Record Scores'!F43</f>
        <v>0</v>
      </c>
    </row>
    <row r="15" spans="1:15" x14ac:dyDescent="0.25">
      <c r="A15" t="s">
        <v>71</v>
      </c>
      <c r="B15">
        <f t="shared" si="0"/>
        <v>0</v>
      </c>
      <c r="C15">
        <f>+'Record Scores'!F44</f>
        <v>0</v>
      </c>
      <c r="D15">
        <f>+'Record Scores'!F45</f>
        <v>0</v>
      </c>
      <c r="E15">
        <f>'Record Scores'!F46</f>
        <v>0</v>
      </c>
      <c r="F15">
        <f>'Record Scores'!F47</f>
        <v>0</v>
      </c>
      <c r="G15">
        <f>'Record Scores'!F48</f>
        <v>0</v>
      </c>
      <c r="H15">
        <f>'Record Scores'!F49</f>
        <v>0</v>
      </c>
      <c r="I15">
        <f>'Record Scores'!F50</f>
        <v>0</v>
      </c>
    </row>
    <row r="16" spans="1:15" x14ac:dyDescent="0.25">
      <c r="A16" t="s">
        <v>72</v>
      </c>
      <c r="B16">
        <f t="shared" si="0"/>
        <v>0</v>
      </c>
      <c r="C16">
        <f>+'Record Scores'!F51</f>
        <v>0</v>
      </c>
      <c r="D16">
        <f>'Record Scores'!F52</f>
        <v>0</v>
      </c>
    </row>
    <row r="17" spans="1:15" x14ac:dyDescent="0.25">
      <c r="A17" t="s">
        <v>95</v>
      </c>
      <c r="B17">
        <f t="shared" si="0"/>
        <v>0</v>
      </c>
      <c r="C17">
        <f>+'Record Scores'!F53</f>
        <v>0</v>
      </c>
      <c r="D17">
        <f>+'Record Scores'!F54</f>
        <v>0</v>
      </c>
      <c r="E17">
        <f>'Record Scores'!F55</f>
        <v>0</v>
      </c>
      <c r="F17">
        <f>'Record Scores'!F56</f>
        <v>0</v>
      </c>
    </row>
    <row r="18" spans="1:15" x14ac:dyDescent="0.25">
      <c r="A18" t="s">
        <v>96</v>
      </c>
      <c r="B18">
        <f>SUM(C18:O18)+B17</f>
        <v>0</v>
      </c>
      <c r="C18">
        <f>+'Record Scores'!F57</f>
        <v>0</v>
      </c>
      <c r="D18">
        <f>+'Record Scores'!F58</f>
        <v>0</v>
      </c>
      <c r="E18">
        <f>+'Record Scores'!F59</f>
        <v>0</v>
      </c>
      <c r="F18">
        <f>+'Record Scores'!F60</f>
        <v>0</v>
      </c>
    </row>
    <row r="19" spans="1:15" x14ac:dyDescent="0.25">
      <c r="A19" t="s">
        <v>74</v>
      </c>
      <c r="B19">
        <f>MAX(B24:B26)</f>
        <v>0</v>
      </c>
      <c r="C19">
        <f>'Record Scores'!F61</f>
        <v>0</v>
      </c>
      <c r="D19">
        <f>'Record Scores'!F62</f>
        <v>0</v>
      </c>
      <c r="E19">
        <f>'Record Scores'!F63</f>
        <v>0</v>
      </c>
      <c r="F19">
        <f>'Record Scores'!F64</f>
        <v>0</v>
      </c>
      <c r="G19">
        <f>'Record Scores'!F65</f>
        <v>0</v>
      </c>
      <c r="H19">
        <f>'Record Scores'!F66</f>
        <v>0</v>
      </c>
      <c r="I19">
        <f>'Record Scores'!F67</f>
        <v>0</v>
      </c>
      <c r="J19">
        <f>'Record Scores'!F68</f>
        <v>0</v>
      </c>
      <c r="K19">
        <f>'Record Scores'!F69</f>
        <v>0</v>
      </c>
    </row>
    <row r="20" spans="1:15" x14ac:dyDescent="0.25">
      <c r="A20" s="2" t="s">
        <v>112</v>
      </c>
      <c r="C20">
        <f>C19</f>
        <v>0</v>
      </c>
      <c r="D20">
        <f>D19</f>
        <v>0</v>
      </c>
      <c r="I20">
        <f>IF(I19=0,5,6)</f>
        <v>5</v>
      </c>
      <c r="K20">
        <f>IF(K19=0,3,IF(K19=2,5,IF(J19=0,2,IF(J19&gt;0,4))))</f>
        <v>3</v>
      </c>
    </row>
    <row r="21" spans="1:15" x14ac:dyDescent="0.25">
      <c r="A21" s="2" t="s">
        <v>109</v>
      </c>
      <c r="B21">
        <f>IF(C20+D20=0,1,0)</f>
        <v>1</v>
      </c>
    </row>
    <row r="22" spans="1:15" x14ac:dyDescent="0.25">
      <c r="A22" s="2" t="s">
        <v>111</v>
      </c>
      <c r="B22">
        <f>IF(C20&gt;3,1,IF(D20=2,1,0))</f>
        <v>0</v>
      </c>
    </row>
    <row r="23" spans="1:15" x14ac:dyDescent="0.25">
      <c r="A23" s="2" t="s">
        <v>110</v>
      </c>
      <c r="B23">
        <f>IF(B21+B22=0,1,0)</f>
        <v>0</v>
      </c>
      <c r="D23" t="s">
        <v>146</v>
      </c>
    </row>
    <row r="24" spans="1:15" x14ac:dyDescent="0.25">
      <c r="A24" s="2" t="s">
        <v>113</v>
      </c>
      <c r="B24">
        <f>IF(B21=0,0,IF(B21=1,IF(B2&gt;2,3,IF(B18&gt;4,1,IF(E19&gt;1,1,0)))))</f>
        <v>0</v>
      </c>
      <c r="D24">
        <f>+C19</f>
        <v>0</v>
      </c>
      <c r="E24">
        <f>+E19</f>
        <v>0</v>
      </c>
      <c r="F24">
        <f>+F19</f>
        <v>0</v>
      </c>
      <c r="I24" t="s">
        <v>148</v>
      </c>
      <c r="J24" t="s">
        <v>149</v>
      </c>
      <c r="K24" t="s">
        <v>150</v>
      </c>
    </row>
    <row r="25" spans="1:15" x14ac:dyDescent="0.25">
      <c r="A25" s="2" t="s">
        <v>118</v>
      </c>
      <c r="B25">
        <f>IF(B23=1,IF(B18&gt;2,4,IF(B18&lt;3,2,0)),0)</f>
        <v>0</v>
      </c>
      <c r="D25">
        <f>IF(D24&gt;3,1,0)</f>
        <v>0</v>
      </c>
      <c r="E25">
        <f t="shared" ref="E25:F25" si="1">IF(E24&gt;3,1,0)</f>
        <v>0</v>
      </c>
      <c r="F25">
        <f t="shared" si="1"/>
        <v>0</v>
      </c>
      <c r="G25" s="6">
        <f>SUM(D25:F25)</f>
        <v>0</v>
      </c>
      <c r="I25" t="str">
        <f>IF(B19&gt;4,"Yes","No")</f>
        <v>No</v>
      </c>
      <c r="J25" t="str">
        <f>IF(I25="No",IF(K25="No","Yes","No"))</f>
        <v>No</v>
      </c>
      <c r="K25" t="str">
        <f>IF(B19&gt;2,"No",IF(B19&lt;3,IF(G25=0,"Yes","No")))</f>
        <v>Yes</v>
      </c>
    </row>
    <row r="26" spans="1:15" x14ac:dyDescent="0.25">
      <c r="A26" s="2" t="s">
        <v>114</v>
      </c>
      <c r="B26">
        <f>IF(B22=0,0,IF(B22=1,IF(B27&gt;9,I20,K20)))</f>
        <v>0</v>
      </c>
      <c r="E26" s="3"/>
    </row>
    <row r="27" spans="1:15" x14ac:dyDescent="0.25">
      <c r="A27" s="2" t="s">
        <v>119</v>
      </c>
      <c r="B27">
        <f>SUM(C18:H18)-E19</f>
        <v>0</v>
      </c>
    </row>
    <row r="28" spans="1:15" x14ac:dyDescent="0.25">
      <c r="A28" t="s">
        <v>75</v>
      </c>
      <c r="B28">
        <f>MAX(B32:B33)</f>
        <v>0</v>
      </c>
      <c r="C28">
        <f>'Record Scores'!F70</f>
        <v>0</v>
      </c>
      <c r="D28">
        <f>'Record Scores'!F71</f>
        <v>0</v>
      </c>
      <c r="E28">
        <f>'Record Scores'!F73</f>
        <v>0</v>
      </c>
      <c r="F28">
        <f>'Record Scores'!F72</f>
        <v>0</v>
      </c>
      <c r="G28">
        <f>'Record Scores'!F75</f>
        <v>0</v>
      </c>
      <c r="H28">
        <f>B15</f>
        <v>0</v>
      </c>
      <c r="I28">
        <f>'Record Scores'!F76</f>
        <v>0</v>
      </c>
      <c r="J28">
        <f>B17</f>
        <v>0</v>
      </c>
      <c r="K28">
        <f>'Record Scores'!F71</f>
        <v>0</v>
      </c>
      <c r="L28">
        <f>'Record Scores'!F74</f>
        <v>0</v>
      </c>
      <c r="M28" t="s">
        <v>148</v>
      </c>
      <c r="N28" t="s">
        <v>149</v>
      </c>
      <c r="O28" t="s">
        <v>150</v>
      </c>
    </row>
    <row r="29" spans="1:15" x14ac:dyDescent="0.25">
      <c r="A29" s="2" t="s">
        <v>112</v>
      </c>
      <c r="E29">
        <f>IF(E28&gt;0,4,2)</f>
        <v>2</v>
      </c>
      <c r="H29" t="s">
        <v>71</v>
      </c>
      <c r="J29">
        <f>IF(J28&gt;0,1,0)</f>
        <v>0</v>
      </c>
      <c r="K29">
        <f>IF(K28=2,6,5)</f>
        <v>5</v>
      </c>
      <c r="L29">
        <f>IF(L28&gt;0,4,2)</f>
        <v>2</v>
      </c>
      <c r="M29" t="str">
        <f>IF(B28=6,"Yes","No")</f>
        <v>No</v>
      </c>
      <c r="N29" t="str">
        <f>IF(M29="No",IF(O29="No","Yes","No"))</f>
        <v>No</v>
      </c>
      <c r="O29" t="str">
        <f>IF(B28&lt;2,"Yes","No")</f>
        <v>Yes</v>
      </c>
    </row>
    <row r="30" spans="1:15" x14ac:dyDescent="0.25">
      <c r="A30" s="2" t="s">
        <v>121</v>
      </c>
      <c r="B30">
        <f>IF(C28=0,1,0)</f>
        <v>1</v>
      </c>
      <c r="J30" t="s">
        <v>95</v>
      </c>
    </row>
    <row r="31" spans="1:15" x14ac:dyDescent="0.25">
      <c r="A31" s="2" t="s">
        <v>122</v>
      </c>
      <c r="B31">
        <f>IF(C28&gt;0,1,0)</f>
        <v>0</v>
      </c>
    </row>
    <row r="32" spans="1:15" x14ac:dyDescent="0.25">
      <c r="A32" s="2" t="s">
        <v>123</v>
      </c>
      <c r="B32">
        <f>IF(B30=0,0,IF(D28=2,E29,IF(F28&gt;0,3,IF(G28&gt;0,2,IF(H28&gt;6,2,IF(I28&gt;1,1,IF(J28&gt;0,1,0)))))))</f>
        <v>0</v>
      </c>
    </row>
    <row r="33" spans="1:16" x14ac:dyDescent="0.25">
      <c r="A33" s="2" t="s">
        <v>124</v>
      </c>
      <c r="B33">
        <f>IF(B31=0,0,IF(J28&gt;2,K29,L29))</f>
        <v>0</v>
      </c>
    </row>
    <row r="34" spans="1:16" x14ac:dyDescent="0.25">
      <c r="A34" t="s">
        <v>76</v>
      </c>
      <c r="B34">
        <f>MAX(B39:B43)</f>
        <v>0</v>
      </c>
      <c r="C34">
        <f>'Record Scores'!F77</f>
        <v>0</v>
      </c>
      <c r="D34">
        <f>'Record Scores'!F78</f>
        <v>0</v>
      </c>
      <c r="E34">
        <f>+B13</f>
        <v>0</v>
      </c>
      <c r="F34">
        <f>B17</f>
        <v>0</v>
      </c>
      <c r="G34">
        <f>'Record Scores'!F79</f>
        <v>0</v>
      </c>
      <c r="H34">
        <f>B6</f>
        <v>0</v>
      </c>
      <c r="J34">
        <f>+'Record Scores'!F80</f>
        <v>0</v>
      </c>
    </row>
    <row r="35" spans="1:16" x14ac:dyDescent="0.25">
      <c r="A35" s="2" t="s">
        <v>112</v>
      </c>
      <c r="C35" t="str">
        <f>IF(C34&lt;3,"0-2",IF(C34&gt;4,"5+","3-4"))</f>
        <v>0-2</v>
      </c>
      <c r="D35" t="str">
        <f>IF(D34=0,"No","Yes")</f>
        <v>No</v>
      </c>
      <c r="E35">
        <f>IF(E34&lt;4,1,4)</f>
        <v>1</v>
      </c>
      <c r="F35" t="str">
        <f>IF(F34&lt;3,"0-2","3+")</f>
        <v>0-2</v>
      </c>
      <c r="G35" t="str">
        <f>IF(G34=0,"No","Yes")</f>
        <v>No</v>
      </c>
      <c r="H35">
        <f>IF(H34&gt;2,3,2)</f>
        <v>2</v>
      </c>
      <c r="I35">
        <f>IF(H34&gt;0,1,0)</f>
        <v>0</v>
      </c>
      <c r="J35">
        <f>IF(J34=1,5,3)</f>
        <v>3</v>
      </c>
      <c r="K35" t="str">
        <f>IF(E34&lt;6,"&lt;6","6+")</f>
        <v>&lt;6</v>
      </c>
    </row>
    <row r="36" spans="1:16" x14ac:dyDescent="0.25">
      <c r="A36" s="2" t="s">
        <v>125</v>
      </c>
      <c r="B36">
        <f>IF(C35="0-2",1,0)</f>
        <v>1</v>
      </c>
      <c r="D36" t="s">
        <v>138</v>
      </c>
      <c r="E36" t="s">
        <v>144</v>
      </c>
      <c r="F36" t="s">
        <v>73</v>
      </c>
      <c r="G36" t="s">
        <v>137</v>
      </c>
      <c r="H36" t="s">
        <v>139</v>
      </c>
      <c r="I36" t="s">
        <v>140</v>
      </c>
      <c r="J36" t="s">
        <v>143</v>
      </c>
      <c r="K36" t="s">
        <v>145</v>
      </c>
    </row>
    <row r="37" spans="1:16" x14ac:dyDescent="0.25">
      <c r="A37" s="2" t="s">
        <v>127</v>
      </c>
      <c r="B37">
        <f>IF(C35="3-4",1,0)</f>
        <v>0</v>
      </c>
    </row>
    <row r="38" spans="1:16" x14ac:dyDescent="0.25">
      <c r="A38" s="2" t="s">
        <v>126</v>
      </c>
      <c r="B38">
        <f>IF(C35="5+",1,0)</f>
        <v>0</v>
      </c>
      <c r="I38" t="s">
        <v>148</v>
      </c>
      <c r="J38" t="s">
        <v>149</v>
      </c>
      <c r="K38" t="s">
        <v>150</v>
      </c>
    </row>
    <row r="39" spans="1:16" x14ac:dyDescent="0.25">
      <c r="A39" s="2" t="s">
        <v>129</v>
      </c>
      <c r="B39" t="b">
        <f>IF(B36=0,0,IF(B36=1,IF(D35="Yes",IF(E34&gt;3,4,1))))</f>
        <v>0</v>
      </c>
      <c r="I39" t="str">
        <f>IF(B34&gt;4,"Yes","No")</f>
        <v>No</v>
      </c>
      <c r="J39" t="str">
        <f>IF(B34=4,"Yes","No")</f>
        <v>No</v>
      </c>
      <c r="K39" t="str">
        <f>IF(B34&lt;4,"Yes","No")</f>
        <v>Yes</v>
      </c>
    </row>
    <row r="40" spans="1:16" x14ac:dyDescent="0.25">
      <c r="A40" s="2" t="s">
        <v>141</v>
      </c>
      <c r="B40">
        <f>IF(B37=0,0,IF(B37=1,IF(D35="Yes",4,3)))</f>
        <v>0</v>
      </c>
    </row>
    <row r="41" spans="1:16" x14ac:dyDescent="0.25">
      <c r="A41" s="2" t="s">
        <v>128</v>
      </c>
      <c r="B41">
        <f>IF(B38=0,0,IF(B38=1,IF(D35="Yes",IF(E34&gt;5,6,5))))</f>
        <v>0</v>
      </c>
    </row>
    <row r="42" spans="1:16" x14ac:dyDescent="0.25">
      <c r="A42" s="2" t="s">
        <v>130</v>
      </c>
      <c r="B42">
        <f>IF(B36=0,0,IF(B36=1,IF(D35="No",IF(F35="3+",H35,IF(G35="yes",2,I35)))))</f>
        <v>0</v>
      </c>
    </row>
    <row r="43" spans="1:16" x14ac:dyDescent="0.25">
      <c r="A43" s="2" t="s">
        <v>131</v>
      </c>
      <c r="B43">
        <f>IF(B38=0,0,IF(B38=1,IF(D35="No",IF(E34&gt;5,K35,IF(G35="Yes",4,2)))))</f>
        <v>0</v>
      </c>
    </row>
    <row r="44" spans="1:16" x14ac:dyDescent="0.25">
      <c r="A44" s="7" t="s">
        <v>107</v>
      </c>
      <c r="C44">
        <f>'Record Scores'!F81</f>
        <v>0</v>
      </c>
      <c r="D44">
        <f>'Record Scores'!F82</f>
        <v>0</v>
      </c>
      <c r="E44">
        <f>'Record Scores'!F83</f>
        <v>0</v>
      </c>
      <c r="H44">
        <f>'Record Scores'!F86</f>
        <v>0</v>
      </c>
      <c r="I44">
        <f>'Record Scores'!F87</f>
        <v>0</v>
      </c>
      <c r="J44">
        <f>'Record Scores'!F88</f>
        <v>0</v>
      </c>
      <c r="K44">
        <f>'Record Scores'!F89</f>
        <v>0</v>
      </c>
      <c r="L44">
        <f>'Record Scores'!F90</f>
        <v>0</v>
      </c>
      <c r="M44">
        <f>'Record Scores'!F91</f>
        <v>0</v>
      </c>
      <c r="N44" t="s">
        <v>157</v>
      </c>
      <c r="O44" t="s">
        <v>158</v>
      </c>
      <c r="P44" t="s">
        <v>108</v>
      </c>
    </row>
    <row r="45" spans="1:16" x14ac:dyDescent="0.25">
      <c r="C45">
        <f>C44+D44+E45</f>
        <v>0</v>
      </c>
      <c r="E45">
        <f>IF(E44&gt;1,1,0)</f>
        <v>0</v>
      </c>
      <c r="H45">
        <f>IF(H44=0,1,0)</f>
        <v>1</v>
      </c>
      <c r="I45">
        <f>IF(I44&lt;3,1,0)</f>
        <v>1</v>
      </c>
      <c r="J45">
        <f>IF(J44&gt;0,1,0)</f>
        <v>0</v>
      </c>
      <c r="K45">
        <f>IF(K44&gt;0,1,0)</f>
        <v>0</v>
      </c>
      <c r="L45">
        <f>IF(L44&lt;2,1,0)</f>
        <v>1</v>
      </c>
      <c r="M45">
        <f>IF(M44&lt;2,1,0)</f>
        <v>1</v>
      </c>
      <c r="N45" t="str">
        <f>IF(L46=0,"No",IF(L46&gt;0,IF(I46&gt;0,"Yes","No")))</f>
        <v>Yes</v>
      </c>
      <c r="O45" t="b">
        <f>IF(N45="No",IF(P45="No","Yes",IF(N45="Yes","No")))</f>
        <v>0</v>
      </c>
      <c r="P45" t="str">
        <f>IF(C45=0,"Yes","No")</f>
        <v>Yes</v>
      </c>
    </row>
    <row r="46" spans="1:16" x14ac:dyDescent="0.25">
      <c r="C46" t="s">
        <v>154</v>
      </c>
      <c r="H46" t="s">
        <v>155</v>
      </c>
      <c r="I46">
        <f>SUM(I45:M45)</f>
        <v>3</v>
      </c>
      <c r="K46" t="s">
        <v>160</v>
      </c>
      <c r="L46" t="b">
        <f>IF(C45&gt;0,IF(H45&gt;0,1,0))</f>
        <v>0</v>
      </c>
    </row>
    <row r="47" spans="1:16" x14ac:dyDescent="0.25">
      <c r="I47" t="s">
        <v>156</v>
      </c>
      <c r="K47" t="s">
        <v>159</v>
      </c>
    </row>
    <row r="48" spans="1:16" x14ac:dyDescent="0.25">
      <c r="A48" t="s">
        <v>164</v>
      </c>
      <c r="C48">
        <f>'Record Scores'!F26</f>
        <v>0</v>
      </c>
      <c r="D48">
        <f>'Record Scores'!F83</f>
        <v>0</v>
      </c>
      <c r="E48">
        <f>'Record Scores'!F84</f>
        <v>0</v>
      </c>
      <c r="F48">
        <f>'Record Scores'!F85</f>
        <v>0</v>
      </c>
      <c r="N48" t="s">
        <v>180</v>
      </c>
      <c r="O48" t="s">
        <v>165</v>
      </c>
      <c r="P48" t="s">
        <v>108</v>
      </c>
    </row>
    <row r="49" spans="1:30" x14ac:dyDescent="0.25">
      <c r="B49">
        <f>SUM(C49:F49)</f>
        <v>0</v>
      </c>
      <c r="C49">
        <f>IF(C48&gt;0,1,0)</f>
        <v>0</v>
      </c>
      <c r="D49">
        <f>IF(D48=1,1,0)</f>
        <v>0</v>
      </c>
      <c r="E49">
        <f t="shared" ref="E49:F49" si="2">IF(E48=1,1,0)</f>
        <v>0</v>
      </c>
      <c r="F49">
        <f t="shared" si="2"/>
        <v>0</v>
      </c>
      <c r="N49" t="str">
        <f>IF(B49&gt;1,"Yes","No")</f>
        <v>No</v>
      </c>
      <c r="O49" t="str">
        <f>IF(B49=1,"Yes","No")</f>
        <v>No</v>
      </c>
      <c r="P49" t="str">
        <f>IF(B49=0,"Yes","No")</f>
        <v>Yes</v>
      </c>
    </row>
    <row r="50" spans="1:30" x14ac:dyDescent="0.25">
      <c r="A50" t="s">
        <v>179</v>
      </c>
      <c r="C50">
        <f>'Record Scores'!F92</f>
        <v>0</v>
      </c>
      <c r="D50">
        <f>'Record Scores'!F93</f>
        <v>0</v>
      </c>
      <c r="E50">
        <f>'Record Scores'!F94</f>
        <v>0</v>
      </c>
      <c r="F50">
        <f>'Record Scores'!F95</f>
        <v>0</v>
      </c>
      <c r="G50">
        <f>'Record Scores'!F96</f>
        <v>0</v>
      </c>
      <c r="H50">
        <f>'Record Scores'!F97</f>
        <v>0</v>
      </c>
      <c r="I50">
        <f>'Record Scores'!F98</f>
        <v>0</v>
      </c>
      <c r="J50">
        <f>'Record Scores'!F99</f>
        <v>0</v>
      </c>
      <c r="K50">
        <f>'Record Scores'!F100</f>
        <v>0</v>
      </c>
      <c r="L50">
        <f>'Record Scores'!F101</f>
        <v>0</v>
      </c>
      <c r="M50">
        <f>'Record Scores'!F102</f>
        <v>0</v>
      </c>
      <c r="N50" t="s">
        <v>183</v>
      </c>
      <c r="O50" t="s">
        <v>184</v>
      </c>
      <c r="P50" t="s">
        <v>108</v>
      </c>
    </row>
    <row r="51" spans="1:30" x14ac:dyDescent="0.25">
      <c r="A51" t="s">
        <v>181</v>
      </c>
      <c r="B51">
        <f>IF(SUM(G51:M51)&gt;0,1,0)</f>
        <v>0</v>
      </c>
      <c r="G51">
        <f>IF(G50&gt;3,1,0)</f>
        <v>0</v>
      </c>
      <c r="H51">
        <f t="shared" ref="H51:J51" si="3">IF(H50&gt;3,1,0)</f>
        <v>0</v>
      </c>
      <c r="I51">
        <f t="shared" si="3"/>
        <v>0</v>
      </c>
      <c r="J51">
        <f t="shared" si="3"/>
        <v>0</v>
      </c>
      <c r="L51">
        <f>IF(L50=1,1,0)</f>
        <v>0</v>
      </c>
      <c r="M51">
        <f>IF(M50=1,1,0)</f>
        <v>0</v>
      </c>
      <c r="N51" t="str">
        <f>IF(B51=1,"Yes","No")</f>
        <v>No</v>
      </c>
      <c r="O51" t="b">
        <f>IF(N51="No",IF(P51="No","Yes",IF(N51="Yes","No")))</f>
        <v>0</v>
      </c>
      <c r="P51" t="str">
        <f>IF(SUM(B51:B52)=0,"Yes","No")</f>
        <v>Yes</v>
      </c>
    </row>
    <row r="52" spans="1:30" x14ac:dyDescent="0.25">
      <c r="A52" t="s">
        <v>182</v>
      </c>
      <c r="B52">
        <f>IF(K52=0,0,IF(C53&gt;0,1,0))</f>
        <v>0</v>
      </c>
      <c r="C52">
        <f>IF(C50&gt;0,1,0)</f>
        <v>0</v>
      </c>
      <c r="D52">
        <f>IF(D50&gt;0,1,0)</f>
        <v>0</v>
      </c>
      <c r="E52">
        <f t="shared" ref="E52:J52" si="4">IF(E50&gt;0,1,0)</f>
        <v>0</v>
      </c>
      <c r="F52">
        <f t="shared" si="4"/>
        <v>0</v>
      </c>
      <c r="G52">
        <f t="shared" si="4"/>
        <v>0</v>
      </c>
      <c r="H52">
        <f t="shared" si="4"/>
        <v>0</v>
      </c>
      <c r="I52">
        <f t="shared" si="4"/>
        <v>0</v>
      </c>
      <c r="J52">
        <f t="shared" si="4"/>
        <v>0</v>
      </c>
      <c r="K52" s="6">
        <f>IF(K50=1,1,0)</f>
        <v>0</v>
      </c>
    </row>
    <row r="53" spans="1:30" x14ac:dyDescent="0.25">
      <c r="C53">
        <f>SUM(C52:J52)</f>
        <v>0</v>
      </c>
    </row>
    <row r="54" spans="1:30" x14ac:dyDescent="0.25">
      <c r="A54" t="s">
        <v>186</v>
      </c>
      <c r="C54">
        <f>'Record Scores'!F103</f>
        <v>0</v>
      </c>
      <c r="D54">
        <f>'Record Scores'!F104</f>
        <v>0</v>
      </c>
      <c r="E54">
        <f>'Record Scores'!F106</f>
        <v>0</v>
      </c>
      <c r="O54" t="s">
        <v>191</v>
      </c>
      <c r="P54" t="s">
        <v>108</v>
      </c>
    </row>
    <row r="55" spans="1:30" x14ac:dyDescent="0.25">
      <c r="B55">
        <f>SUM(C55:E55)</f>
        <v>0</v>
      </c>
      <c r="C55">
        <f>IF(C54&gt;1,1,0)</f>
        <v>0</v>
      </c>
      <c r="D55">
        <f>IF(D54&gt;1,1,0)</f>
        <v>0</v>
      </c>
      <c r="E55">
        <f>IF(E54=1,1,0)</f>
        <v>0</v>
      </c>
      <c r="O55" t="str">
        <f>IF(B55&gt;0,"Yes","No")</f>
        <v>No</v>
      </c>
      <c r="P55" t="str">
        <f>IF(B55=0,"Yes","No")</f>
        <v>Yes</v>
      </c>
    </row>
    <row r="56" spans="1:30" x14ac:dyDescent="0.25">
      <c r="A56" t="s">
        <v>193</v>
      </c>
      <c r="C56">
        <f>'Record Scores'!F106</f>
        <v>0</v>
      </c>
      <c r="D56">
        <f>'Record Scores'!F107</f>
        <v>0</v>
      </c>
      <c r="E56">
        <f>'Record Scores'!F108</f>
        <v>0</v>
      </c>
      <c r="F56">
        <f>'Record Scores'!F109</f>
        <v>0</v>
      </c>
      <c r="N56" t="s">
        <v>197</v>
      </c>
      <c r="O56" t="s">
        <v>198</v>
      </c>
      <c r="P56" t="s">
        <v>108</v>
      </c>
    </row>
    <row r="57" spans="1:30" x14ac:dyDescent="0.25">
      <c r="C57">
        <f>IF(C56&gt;0,1,0)</f>
        <v>0</v>
      </c>
      <c r="D57">
        <f>IF(D56=1,1,0)</f>
        <v>0</v>
      </c>
      <c r="E57">
        <f>IF(E56=0,1,0)</f>
        <v>1</v>
      </c>
      <c r="F57">
        <f>IF(F56&gt;2,1,0)</f>
        <v>0</v>
      </c>
      <c r="N57" t="str">
        <f>IF(SUM(C57:D57)&gt;0,"Yes","No")</f>
        <v>No</v>
      </c>
      <c r="O57" t="str">
        <f>IF(N57="No",IF(P57="No","Yes",IF(N57="Yes","No")))</f>
        <v>Yes</v>
      </c>
      <c r="P57" t="str">
        <f>IF(SUM(C57:F57)=0,"Yes","No")</f>
        <v>No</v>
      </c>
    </row>
    <row r="58" spans="1:30" x14ac:dyDescent="0.25">
      <c r="A58" t="s">
        <v>201</v>
      </c>
      <c r="C58">
        <f>'Record Scores'!F110</f>
        <v>0</v>
      </c>
      <c r="D58">
        <f>'Record Scores'!F111</f>
        <v>0</v>
      </c>
      <c r="E58">
        <f>'Record Scores'!F112</f>
        <v>0</v>
      </c>
      <c r="F58">
        <f>'Record Scores'!F113</f>
        <v>0</v>
      </c>
      <c r="G58">
        <f>'Record Scores'!F114</f>
        <v>0</v>
      </c>
      <c r="H58">
        <f>B3</f>
        <v>0</v>
      </c>
      <c r="I58">
        <f>B6</f>
        <v>0</v>
      </c>
      <c r="J58">
        <f>B18</f>
        <v>0</v>
      </c>
      <c r="K58">
        <f>'Record Scores'!F115</f>
        <v>0</v>
      </c>
      <c r="L58">
        <f>B2</f>
        <v>0</v>
      </c>
      <c r="M58">
        <f>'Record Scores'!F116</f>
        <v>0</v>
      </c>
      <c r="N58">
        <f>'Record Scores'!F117</f>
        <v>0</v>
      </c>
      <c r="O58">
        <f>'Record Scores'!F118</f>
        <v>0</v>
      </c>
      <c r="P58" t="s">
        <v>215</v>
      </c>
      <c r="Q58" t="s">
        <v>216</v>
      </c>
      <c r="R58" t="s">
        <v>108</v>
      </c>
    </row>
    <row r="59" spans="1:30" x14ac:dyDescent="0.25">
      <c r="A59" t="s">
        <v>211</v>
      </c>
      <c r="B59">
        <f>'Record Scores'!F119</f>
        <v>0</v>
      </c>
      <c r="C59">
        <f>IF(SUM(C58:F58)&gt;0,1,0)</f>
        <v>0</v>
      </c>
      <c r="G59">
        <f>IF(G58=2,1,0)</f>
        <v>0</v>
      </c>
      <c r="O59">
        <f>IF(O58&gt;2,1,0)</f>
        <v>0</v>
      </c>
      <c r="P59" t="str">
        <f>IF(C59&gt;0,"Yes","No")</f>
        <v>No</v>
      </c>
      <c r="Q59" t="str">
        <f>IF(P59="Yes","No",IF(SUM(B60:B62)&gt;0,"Yes","No"))</f>
        <v>No</v>
      </c>
      <c r="R59" t="str">
        <f>IF(P59="Yes","No",IF(Q59="Yes","No","Yes"))</f>
        <v>Yes</v>
      </c>
    </row>
    <row r="60" spans="1:30" x14ac:dyDescent="0.25">
      <c r="A60" t="s">
        <v>212</v>
      </c>
      <c r="B60">
        <f>IF(G59=1,1,0)</f>
        <v>0</v>
      </c>
      <c r="G60">
        <f>IF(G58=3,1,0)</f>
        <v>0</v>
      </c>
      <c r="H60">
        <f>IF(H58&lt;2,1,0)</f>
        <v>1</v>
      </c>
      <c r="I60">
        <f>IF(I58&lt;2,1,0)</f>
        <v>1</v>
      </c>
      <c r="J60">
        <f>IF(J58&lt;9,1,0)</f>
        <v>1</v>
      </c>
      <c r="K60">
        <f>IF(K58=0,1,0)</f>
        <v>1</v>
      </c>
      <c r="L60">
        <f>IF(SUM(L58:N58)&lt;6,1,0)</f>
        <v>1</v>
      </c>
    </row>
    <row r="61" spans="1:30" x14ac:dyDescent="0.25">
      <c r="A61" t="s">
        <v>213</v>
      </c>
      <c r="B61">
        <f>IF(C61=0,0,IF(SUM(G60:L60)=6,1,0))</f>
        <v>0</v>
      </c>
      <c r="C61">
        <f>IF(B59&gt;65,0,IF(B59&lt;15,0,1))</f>
        <v>0</v>
      </c>
    </row>
    <row r="62" spans="1:30" x14ac:dyDescent="0.25">
      <c r="A62" t="s">
        <v>214</v>
      </c>
      <c r="B62">
        <f>IF(C62=0,0,IF(O59=1,1,0))</f>
        <v>0</v>
      </c>
      <c r="C62">
        <f>IF(B59&lt;10,0,IF(B59&gt;30,0,1))</f>
        <v>0</v>
      </c>
    </row>
    <row r="63" spans="1:30" x14ac:dyDescent="0.25">
      <c r="A63" t="s">
        <v>219</v>
      </c>
      <c r="C63">
        <f>B6</f>
        <v>0</v>
      </c>
      <c r="D63">
        <f>'Record Scores'!F120</f>
        <v>0</v>
      </c>
      <c r="E63">
        <f>B15</f>
        <v>0</v>
      </c>
      <c r="F63">
        <f>'Record Scores'!F121</f>
        <v>0</v>
      </c>
      <c r="G63">
        <f>'Record Scores'!F122</f>
        <v>0</v>
      </c>
      <c r="H63">
        <f>'Record Scores'!F123</f>
        <v>0</v>
      </c>
      <c r="I63">
        <f>'Record Scores'!F124</f>
        <v>0</v>
      </c>
      <c r="J63">
        <f>'Record Scores'!F125</f>
        <v>0</v>
      </c>
      <c r="K63">
        <f>'Record Scores'!F126</f>
        <v>0</v>
      </c>
      <c r="L63">
        <f>'Record Scores'!F127</f>
        <v>0</v>
      </c>
      <c r="M63">
        <f>'Record Scores'!F128</f>
        <v>0</v>
      </c>
      <c r="N63">
        <f>'Record Scores'!F129</f>
        <v>0</v>
      </c>
      <c r="O63">
        <f>'Record Scores'!F130</f>
        <v>0</v>
      </c>
      <c r="P63">
        <f>'Record Scores'!F131</f>
        <v>0</v>
      </c>
      <c r="Q63">
        <f>'Record Scores'!F132</f>
        <v>0</v>
      </c>
      <c r="R63">
        <f>'Record Scores'!F133</f>
        <v>0</v>
      </c>
      <c r="S63">
        <f>'Record Scores'!F134</f>
        <v>0</v>
      </c>
      <c r="T63">
        <f>'Record Scores'!F135</f>
        <v>0</v>
      </c>
      <c r="U63">
        <f>'Record Scores'!F136</f>
        <v>0</v>
      </c>
      <c r="V63">
        <f>'Record Scores'!F137</f>
        <v>0</v>
      </c>
      <c r="W63">
        <f>'Record Scores'!F138</f>
        <v>0</v>
      </c>
      <c r="X63">
        <f>'Record Scores'!F139</f>
        <v>0</v>
      </c>
      <c r="Y63">
        <f>'Record Scores'!F140</f>
        <v>0</v>
      </c>
      <c r="Z63">
        <f>'Record Scores'!F141</f>
        <v>0</v>
      </c>
      <c r="AA63">
        <f>'Record Scores'!F142</f>
        <v>0</v>
      </c>
      <c r="AB63">
        <f>'Record Scores'!F143</f>
        <v>0</v>
      </c>
      <c r="AC63">
        <f>'Record Scores'!F144</f>
        <v>0</v>
      </c>
      <c r="AD63">
        <f>'Record Scores'!F145</f>
        <v>0</v>
      </c>
    </row>
    <row r="64" spans="1:30" x14ac:dyDescent="0.25">
      <c r="A64" t="s">
        <v>239</v>
      </c>
      <c r="B64">
        <f>IF(SUM(C64:H64)=0,0,IF(SUM(I64:K64)=0,0,1))</f>
        <v>0</v>
      </c>
      <c r="C64">
        <f>IF(C63&gt;1,1,0)</f>
        <v>0</v>
      </c>
      <c r="D64">
        <f>IF(D63&gt;1,1,0)</f>
        <v>0</v>
      </c>
      <c r="E64">
        <f>IF(E63&gt;6,1,0)</f>
        <v>0</v>
      </c>
      <c r="F64">
        <f>IF(F63&gt;1,1,0)</f>
        <v>0</v>
      </c>
      <c r="G64">
        <f>IF(G63&gt;1,1,0)</f>
        <v>0</v>
      </c>
      <c r="H64">
        <f>IF(H63&gt;1,1,0)</f>
        <v>0</v>
      </c>
      <c r="I64">
        <f>IF(I63=2,1,0)</f>
        <v>0</v>
      </c>
      <c r="J64">
        <f>IF(J63&gt;1,1,0)</f>
        <v>0</v>
      </c>
      <c r="K64">
        <f>IF(K63&gt;1,1,0)</f>
        <v>0</v>
      </c>
      <c r="L64">
        <f>IF(L63=1,1,0)</f>
        <v>0</v>
      </c>
      <c r="M64">
        <f>IF(SUM(M63:AD63)&gt;0,1,0)</f>
        <v>0</v>
      </c>
      <c r="N64" t="s">
        <v>241</v>
      </c>
      <c r="O64" t="s">
        <v>242</v>
      </c>
      <c r="P64" t="s">
        <v>108</v>
      </c>
    </row>
    <row r="65" spans="1:20" x14ac:dyDescent="0.25">
      <c r="A65" t="s">
        <v>240</v>
      </c>
      <c r="B65">
        <f>IF(B64=1,0,IF(L64=0,0,IF(M64&gt;0,1,0)))</f>
        <v>0</v>
      </c>
      <c r="N65" t="str">
        <f>IF(B64=1,"Yes","No")</f>
        <v>No</v>
      </c>
      <c r="O65" t="str">
        <f>IF(N65="Yes","No",IF(B65=1,"Yes","No"))</f>
        <v>No</v>
      </c>
      <c r="P65" t="str">
        <f>IF(N65="Yes","No",IF(O65="Yes","No","Yes"))</f>
        <v>Yes</v>
      </c>
    </row>
    <row r="66" spans="1:20" x14ac:dyDescent="0.25">
      <c r="A66" t="s">
        <v>247</v>
      </c>
      <c r="C66">
        <f>'Record Scores'!F146</f>
        <v>0</v>
      </c>
      <c r="D66">
        <f>B18</f>
        <v>0</v>
      </c>
      <c r="E66">
        <f>B6</f>
        <v>0</v>
      </c>
      <c r="F66">
        <f>'Record Scores'!F147</f>
        <v>0</v>
      </c>
      <c r="G66">
        <f>'Record Scores'!F148</f>
        <v>0</v>
      </c>
      <c r="N66" t="s">
        <v>148</v>
      </c>
      <c r="O66" t="s">
        <v>149</v>
      </c>
      <c r="P66" t="s">
        <v>108</v>
      </c>
    </row>
    <row r="67" spans="1:20" x14ac:dyDescent="0.25">
      <c r="A67" t="s">
        <v>248</v>
      </c>
      <c r="B67">
        <f>IF(C66&lt;2,0,IF(H67:H68=0,0,1))</f>
        <v>0</v>
      </c>
      <c r="C67">
        <f>IF(C66&gt;0,1,0)</f>
        <v>0</v>
      </c>
      <c r="D67">
        <f>IF(D66&gt;2,1,0)</f>
        <v>0</v>
      </c>
      <c r="E67">
        <f>IF(E66&gt;2,1,0)</f>
        <v>0</v>
      </c>
      <c r="F67">
        <f>IF(F66=2,1,0)</f>
        <v>0</v>
      </c>
      <c r="G67">
        <f>IF(G66=1,1,0)</f>
        <v>0</v>
      </c>
      <c r="H67">
        <f>SUM(D67:G67)</f>
        <v>0</v>
      </c>
      <c r="N67" t="str">
        <f>IF(B67=1,"Yes","No")</f>
        <v>No</v>
      </c>
      <c r="O67" t="str">
        <f>IF(N67="Yes","No",IF(B68=1,"Yes","No"))</f>
        <v>No</v>
      </c>
      <c r="P67" t="str">
        <f>IF(N67="Yes","No",IF(O67="Yes","No","Yes"))</f>
        <v>Yes</v>
      </c>
    </row>
    <row r="68" spans="1:20" x14ac:dyDescent="0.25">
      <c r="A68" t="s">
        <v>249</v>
      </c>
      <c r="B68">
        <f>SUM(C68:D68)</f>
        <v>0</v>
      </c>
      <c r="C68">
        <f>IF(C66&lt;2,0,IF(H67=0,1,0))</f>
        <v>0</v>
      </c>
      <c r="D68">
        <f>IF(C66&lt;&gt;1,0,IF(H67&gt;0,1,0))</f>
        <v>0</v>
      </c>
    </row>
    <row r="69" spans="1:20" x14ac:dyDescent="0.25">
      <c r="A69" t="s">
        <v>257</v>
      </c>
      <c r="C69">
        <f>'Record Scores'!F149</f>
        <v>0</v>
      </c>
      <c r="N69" t="s">
        <v>259</v>
      </c>
      <c r="O69" t="s">
        <v>260</v>
      </c>
      <c r="P69" t="s">
        <v>108</v>
      </c>
    </row>
    <row r="70" spans="1:20" x14ac:dyDescent="0.25">
      <c r="N70" t="str">
        <f>IF(C69=1,"Yes","No")</f>
        <v>No</v>
      </c>
      <c r="O70" t="str">
        <f>IF(C69=2,"Yes","No")</f>
        <v>No</v>
      </c>
      <c r="P70" t="str">
        <f>IF(N70="Yes","No",IF(O70="Yes","No","Yes"))</f>
        <v>Yes</v>
      </c>
    </row>
    <row r="71" spans="1:20" x14ac:dyDescent="0.25">
      <c r="A71" t="s">
        <v>261</v>
      </c>
      <c r="C71">
        <f>'Record Scores'!F150</f>
        <v>0</v>
      </c>
      <c r="D71">
        <f>'Record Scores'!F151</f>
        <v>0</v>
      </c>
      <c r="E71">
        <f>'Record Scores'!F152</f>
        <v>0</v>
      </c>
      <c r="F71">
        <f>'Record Scores'!F153</f>
        <v>0</v>
      </c>
      <c r="G71">
        <f>'Record Scores'!F154</f>
        <v>0</v>
      </c>
      <c r="H71">
        <f>'Record Scores'!F155</f>
        <v>0</v>
      </c>
      <c r="I71" t="s">
        <v>274</v>
      </c>
      <c r="J71">
        <f>'Record Scores'!F156</f>
        <v>0</v>
      </c>
      <c r="K71">
        <f>'Record Scores'!F157</f>
        <v>0</v>
      </c>
      <c r="L71">
        <f>'Record Scores'!F158</f>
        <v>0</v>
      </c>
      <c r="M71">
        <f>B5</f>
        <v>0</v>
      </c>
      <c r="N71">
        <f>'Record Scores'!F159</f>
        <v>0</v>
      </c>
      <c r="O71" t="s">
        <v>275</v>
      </c>
      <c r="P71" t="s">
        <v>276</v>
      </c>
      <c r="Q71" t="s">
        <v>108</v>
      </c>
    </row>
    <row r="72" spans="1:20" x14ac:dyDescent="0.25">
      <c r="A72" s="9" t="s">
        <v>272</v>
      </c>
      <c r="B72">
        <f>IF(SUM(I72:L72)=0,0,1)</f>
        <v>0</v>
      </c>
      <c r="C72">
        <f>IF(C71&gt;2,1,0)</f>
        <v>0</v>
      </c>
      <c r="D72">
        <f t="shared" ref="D72:H72" si="5">IF(D71&gt;2,1,0)</f>
        <v>0</v>
      </c>
      <c r="E72">
        <f t="shared" si="5"/>
        <v>0</v>
      </c>
      <c r="F72">
        <f t="shared" si="5"/>
        <v>0</v>
      </c>
      <c r="G72">
        <f t="shared" si="5"/>
        <v>0</v>
      </c>
      <c r="H72">
        <f t="shared" si="5"/>
        <v>0</v>
      </c>
      <c r="I72">
        <f>SUM(C72:H72)</f>
        <v>0</v>
      </c>
      <c r="J72">
        <f>IF(J71&gt;1,1,0)</f>
        <v>0</v>
      </c>
      <c r="K72">
        <f>IF(K71=3,1,0)</f>
        <v>0</v>
      </c>
      <c r="L72">
        <f>IF(L71=1,1,0)</f>
        <v>0</v>
      </c>
      <c r="O72" t="str">
        <f>IF(B72=1,"Yes","No")</f>
        <v>No</v>
      </c>
      <c r="P72" t="str">
        <f>IF(B73=1,"Yes","No")</f>
        <v>Yes</v>
      </c>
      <c r="Q72" t="str">
        <f>IF(O72="Yes","No",IF(P72="Yes","No","Yes"))</f>
        <v>No</v>
      </c>
    </row>
    <row r="73" spans="1:20" x14ac:dyDescent="0.25">
      <c r="A73" s="9" t="s">
        <v>273</v>
      </c>
      <c r="B73">
        <f>IF(B72=1,0,IF(SUM(I73:N73)=0,0,1))</f>
        <v>1</v>
      </c>
      <c r="C73">
        <f>IF(C71=0,0,IF(C71&lt;3,1,0))</f>
        <v>0</v>
      </c>
      <c r="D73">
        <f t="shared" ref="D73:H73" si="6">IF(D71=0,0,IF(D71&lt;3,1,0))</f>
        <v>0</v>
      </c>
      <c r="E73">
        <f t="shared" si="6"/>
        <v>0</v>
      </c>
      <c r="F73">
        <f t="shared" si="6"/>
        <v>0</v>
      </c>
      <c r="G73">
        <f t="shared" si="6"/>
        <v>0</v>
      </c>
      <c r="H73">
        <f t="shared" si="6"/>
        <v>0</v>
      </c>
      <c r="I73">
        <f>SUM(C73:H73)</f>
        <v>0</v>
      </c>
      <c r="J73">
        <f>IF(J71&lt;2,1,0)</f>
        <v>1</v>
      </c>
      <c r="M73">
        <f>IF(M71&gt;0,1,0)</f>
        <v>0</v>
      </c>
      <c r="N73">
        <f>IF(N71=1,1,0)</f>
        <v>0</v>
      </c>
    </row>
    <row r="74" spans="1:20" x14ac:dyDescent="0.25">
      <c r="A74" t="s">
        <v>287</v>
      </c>
      <c r="C74">
        <f>'Record Scores'!F162</f>
        <v>0</v>
      </c>
      <c r="D74">
        <f>'Record Scores'!F163</f>
        <v>0</v>
      </c>
      <c r="E74">
        <f>'Record Scores'!F164</f>
        <v>0</v>
      </c>
      <c r="F74">
        <f>'Record Scores'!F165</f>
        <v>0</v>
      </c>
      <c r="G74">
        <f>'Record Scores'!F166</f>
        <v>0</v>
      </c>
      <c r="N74" t="s">
        <v>291</v>
      </c>
      <c r="O74" t="s">
        <v>292</v>
      </c>
      <c r="P74" t="s">
        <v>108</v>
      </c>
    </row>
    <row r="75" spans="1:20" x14ac:dyDescent="0.25">
      <c r="A75" t="s">
        <v>289</v>
      </c>
      <c r="C75">
        <f>IF(C74&gt;29.9,1,0)</f>
        <v>0</v>
      </c>
      <c r="E75">
        <f>IF(E74=1,1,0)</f>
        <v>0</v>
      </c>
      <c r="F75">
        <f t="shared" ref="F75:G75" si="7">IF(F74=1,1,0)</f>
        <v>0</v>
      </c>
      <c r="G75">
        <f t="shared" si="7"/>
        <v>0</v>
      </c>
      <c r="H75">
        <f>SUM(E75:G75)</f>
        <v>0</v>
      </c>
      <c r="N75" t="str">
        <f>IF(SUM(C75:C77)&gt;0,"Yes","No")</f>
        <v>Yes</v>
      </c>
      <c r="O75" t="str">
        <f>IF(N75="Yes","No",IF(H75&gt;0,"Yes","No"))</f>
        <v>No</v>
      </c>
      <c r="P75" t="str">
        <f>IF(N75="Yes","No",IF(O75="Yes","No","Yes"))</f>
        <v>No</v>
      </c>
    </row>
    <row r="76" spans="1:20" x14ac:dyDescent="0.25">
      <c r="A76" t="s">
        <v>288</v>
      </c>
      <c r="C76">
        <f>IF(C74&lt;18.5,1,0)</f>
        <v>1</v>
      </c>
    </row>
    <row r="77" spans="1:20" x14ac:dyDescent="0.25">
      <c r="A77" t="s">
        <v>290</v>
      </c>
      <c r="C77">
        <f>IF(C74&gt;21,0,IF(D74=1,1,0))</f>
        <v>0</v>
      </c>
    </row>
    <row r="78" spans="1:20" x14ac:dyDescent="0.25">
      <c r="A78" t="s">
        <v>300</v>
      </c>
      <c r="C78">
        <f>'Record Scores'!F167</f>
        <v>0</v>
      </c>
      <c r="D78">
        <f>B6</f>
        <v>0</v>
      </c>
      <c r="E78">
        <f>B3</f>
        <v>0</v>
      </c>
      <c r="F78">
        <f>U63</f>
        <v>0</v>
      </c>
      <c r="G78">
        <f>'Record Scores'!F168</f>
        <v>0</v>
      </c>
      <c r="H78">
        <f>'Record Scores'!F169</f>
        <v>0</v>
      </c>
      <c r="I78">
        <f>'Record Scores'!F170</f>
        <v>0</v>
      </c>
      <c r="J78">
        <f>Z63</f>
        <v>0</v>
      </c>
      <c r="K78">
        <f>'Record Scores'!F171</f>
        <v>0</v>
      </c>
      <c r="L78">
        <f>M63</f>
        <v>0</v>
      </c>
      <c r="M78">
        <f t="shared" ref="M78:S78" si="8">N63</f>
        <v>0</v>
      </c>
      <c r="N78">
        <f t="shared" si="8"/>
        <v>0</v>
      </c>
      <c r="O78">
        <f t="shared" si="8"/>
        <v>0</v>
      </c>
      <c r="P78">
        <f t="shared" si="8"/>
        <v>0</v>
      </c>
      <c r="Q78">
        <f t="shared" si="8"/>
        <v>0</v>
      </c>
      <c r="R78">
        <f t="shared" si="8"/>
        <v>0</v>
      </c>
      <c r="S78">
        <f>'Record Scores'!F172</f>
        <v>0</v>
      </c>
      <c r="T78">
        <f>'Record Scores'!F173</f>
        <v>0</v>
      </c>
    </row>
    <row r="79" spans="1:20" x14ac:dyDescent="0.25">
      <c r="A79" t="s">
        <v>301</v>
      </c>
      <c r="B79">
        <f>IF(C79=0,0,IF(SUM(D79:E80)&gt;0,1,0))</f>
        <v>1</v>
      </c>
      <c r="C79">
        <f>IF(C78&lt;2,1,0)</f>
        <v>1</v>
      </c>
      <c r="D79">
        <f>IF(D78&lt;5,1,0)</f>
        <v>1</v>
      </c>
      <c r="E79">
        <f>IF(E78&lt;5,1,0)</f>
        <v>1</v>
      </c>
      <c r="N79" t="s">
        <v>309</v>
      </c>
      <c r="O79" t="s">
        <v>310</v>
      </c>
      <c r="P79" t="s">
        <v>108</v>
      </c>
    </row>
    <row r="80" spans="1:20" x14ac:dyDescent="0.25">
      <c r="A80" t="s">
        <v>302</v>
      </c>
      <c r="B80">
        <f>IF(B79=0,0,IF(SUM(F78:T78)&gt;0,1,0))</f>
        <v>0</v>
      </c>
      <c r="N80" t="str">
        <f>IF(O80="Yes","No",IF(B79=1,"Yes","No"))</f>
        <v>Yes</v>
      </c>
      <c r="O80" t="str">
        <f>IF(B80=1,"Yes","No")</f>
        <v>No</v>
      </c>
      <c r="P80" t="str">
        <f>IF(N80="Yes","No",IF(O80="Yes","No","Yes"))</f>
        <v>No</v>
      </c>
    </row>
    <row r="81" spans="1:16" x14ac:dyDescent="0.25">
      <c r="A81" t="s">
        <v>303</v>
      </c>
      <c r="C81">
        <f>'Record Scores'!F174</f>
        <v>0</v>
      </c>
      <c r="D81">
        <f>'Record Scores'!F175</f>
        <v>0</v>
      </c>
      <c r="E81">
        <f>B6</f>
        <v>0</v>
      </c>
      <c r="N81" t="s">
        <v>308</v>
      </c>
      <c r="O81" t="s">
        <v>307</v>
      </c>
      <c r="P81" t="s">
        <v>108</v>
      </c>
    </row>
    <row r="82" spans="1:16" x14ac:dyDescent="0.25">
      <c r="A82" t="s">
        <v>304</v>
      </c>
      <c r="B82">
        <f>IF(SUM(C81:D81)=0,0,IF(E82=1,1,0))</f>
        <v>0</v>
      </c>
      <c r="E82">
        <f>IF(E81&gt;4,1,0)</f>
        <v>0</v>
      </c>
      <c r="N82" t="str">
        <f>IF(B82=1,"Yes","No")</f>
        <v>No</v>
      </c>
      <c r="O82" t="str">
        <f>IF(N82="Yes","No",IF(B83=1,"Yes","No"))</f>
        <v>No</v>
      </c>
      <c r="P82" t="str">
        <f>IF(N82="Yes","No",IF(O82="Yes","No","Yes"))</f>
        <v>Yes</v>
      </c>
    </row>
    <row r="83" spans="1:16" x14ac:dyDescent="0.25">
      <c r="A83" t="s">
        <v>305</v>
      </c>
      <c r="B83">
        <f>IF(SUM(C81:D81)=0,0,IF(E83=1,1,0))</f>
        <v>0</v>
      </c>
      <c r="E83">
        <f>IF(E81&lt;5,1,0)</f>
        <v>1</v>
      </c>
    </row>
    <row r="84" spans="1:16" x14ac:dyDescent="0.25">
      <c r="A84" t="s">
        <v>72</v>
      </c>
      <c r="C84">
        <f>'Record Scores'!F176</f>
        <v>0</v>
      </c>
      <c r="N84" t="s">
        <v>148</v>
      </c>
      <c r="O84" t="s">
        <v>312</v>
      </c>
      <c r="P84" t="s">
        <v>108</v>
      </c>
    </row>
    <row r="85" spans="1:16" x14ac:dyDescent="0.25">
      <c r="A85" t="s">
        <v>311</v>
      </c>
      <c r="C85">
        <f>IF(C84&gt;2,1,0)</f>
        <v>0</v>
      </c>
      <c r="N85" t="str">
        <f>IF(C85=1,"Yes","No")</f>
        <v>No</v>
      </c>
      <c r="O85" t="str">
        <f>IF(C86=1,"Yes","No")</f>
        <v>No</v>
      </c>
      <c r="P85" t="str">
        <f>IF(N85="Yes","No",IF(O85="Yes","No","Yes"))</f>
        <v>Yes</v>
      </c>
    </row>
    <row r="86" spans="1:16" x14ac:dyDescent="0.25">
      <c r="A86" t="s">
        <v>313</v>
      </c>
      <c r="C86">
        <f>IF(C84=0,0,IF(C84&lt;3,1,0))</f>
        <v>0</v>
      </c>
    </row>
    <row r="87" spans="1:16" x14ac:dyDescent="0.25">
      <c r="A87" t="s">
        <v>314</v>
      </c>
      <c r="C87">
        <f>'Record Scores'!F177</f>
        <v>0</v>
      </c>
      <c r="N87" t="s">
        <v>148</v>
      </c>
      <c r="O87" t="s">
        <v>312</v>
      </c>
      <c r="P87" t="s">
        <v>108</v>
      </c>
    </row>
    <row r="88" spans="1:16" x14ac:dyDescent="0.25">
      <c r="A88" t="s">
        <v>248</v>
      </c>
      <c r="C88">
        <f>IF(C87=3,1,0)</f>
        <v>0</v>
      </c>
      <c r="N88" t="str">
        <f>IF(C88=1,"Yes","No")</f>
        <v>No</v>
      </c>
      <c r="O88" t="str">
        <f>IF(C89=1,"Yes","No")</f>
        <v>No</v>
      </c>
      <c r="P88" t="str">
        <f>IF(N88="Yes","No",IF(O88="Yes","No","Yes"))</f>
        <v>Yes</v>
      </c>
    </row>
    <row r="89" spans="1:16" x14ac:dyDescent="0.25">
      <c r="A89" t="s">
        <v>315</v>
      </c>
      <c r="C89">
        <f>IF(C87=0,0,IF(C87&lt;3,1,0))</f>
        <v>0</v>
      </c>
    </row>
  </sheetData>
  <sheetProtection password="BD4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Record Scores</vt:lpstr>
      <vt:lpstr>Results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2019-03-06T19:28:34Z</dcterms:created>
  <dcterms:modified xsi:type="dcterms:W3CDTF">2019-04-01T22:53:17Z</dcterms:modified>
</cp:coreProperties>
</file>